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workbookProtection workbookPassword="CB3B" lockStructure="1"/>
  <bookViews>
    <workbookView xWindow="15" yWindow="120" windowWidth="20340" windowHeight="7665"/>
  </bookViews>
  <sheets>
    <sheet name="Start" sheetId="7" r:id="rId1"/>
    <sheet name="Eingabe" sheetId="1" r:id="rId2"/>
    <sheet name="Trockenzeit" sheetId="2" r:id="rId3"/>
    <sheet name="Volumen" sheetId="4" r:id="rId4"/>
    <sheet name="Energiebedarf" sheetId="5" r:id="rId5"/>
    <sheet name="Kostenrechnung" sheetId="6" r:id="rId6"/>
    <sheet name="Datensammlung" sheetId="3" r:id="rId7"/>
  </sheets>
  <definedNames>
    <definedName name="_xlnm._FilterDatabase" localSheetId="4" hidden="1">Energiebedarf!$J$29:$J$31</definedName>
    <definedName name="Hackschnitzel">Hack, Gas, Öl</definedName>
    <definedName name="Holzart">Datensammlung!$B$5:$B$52</definedName>
  </definedNames>
  <calcPr calcId="144525"/>
</workbook>
</file>

<file path=xl/calcChain.xml><?xml version="1.0" encoding="utf-8"?>
<calcChain xmlns="http://schemas.openxmlformats.org/spreadsheetml/2006/main">
  <c r="G6" i="2" l="1"/>
  <c r="M6" i="2"/>
  <c r="J17" i="5"/>
  <c r="L28" i="5"/>
  <c r="L26" i="5"/>
  <c r="L24" i="5"/>
  <c r="R9" i="6"/>
  <c r="R10" i="6"/>
  <c r="R11" i="6"/>
  <c r="R12" i="6"/>
  <c r="R13" i="6"/>
  <c r="R14" i="6"/>
  <c r="R15" i="6"/>
  <c r="R16" i="6"/>
  <c r="R17" i="6"/>
  <c r="R18" i="6"/>
  <c r="R19" i="6"/>
  <c r="R20" i="6"/>
  <c r="R21" i="6"/>
  <c r="R22" i="6"/>
  <c r="R23" i="6"/>
  <c r="R8" i="6"/>
  <c r="B31" i="1" l="1"/>
  <c r="S29" i="6" s="1"/>
  <c r="C18" i="4"/>
  <c r="D18" i="4"/>
  <c r="E18" i="4"/>
  <c r="B18" i="4"/>
  <c r="H18" i="4"/>
  <c r="I18" i="4"/>
  <c r="J18" i="4"/>
  <c r="G18" i="4"/>
  <c r="C48" i="6"/>
  <c r="K5" i="5"/>
  <c r="G6" i="5"/>
  <c r="J5" i="5"/>
  <c r="G30" i="5"/>
  <c r="G22" i="5"/>
  <c r="F30" i="5"/>
  <c r="G14" i="5"/>
  <c r="F22" i="5"/>
  <c r="F14" i="5"/>
  <c r="F6" i="5"/>
  <c r="B30" i="5"/>
  <c r="C31" i="6"/>
  <c r="F17" i="5"/>
  <c r="F16" i="5"/>
  <c r="D21" i="6"/>
  <c r="D20" i="6"/>
  <c r="D15" i="6"/>
  <c r="B40" i="5"/>
  <c r="C17" i="5"/>
  <c r="G17" i="5" s="1"/>
  <c r="C16" i="5"/>
  <c r="G16" i="5" s="1"/>
  <c r="B17" i="5"/>
  <c r="B16" i="5"/>
  <c r="C9" i="5"/>
  <c r="G9" i="5" s="1"/>
  <c r="G24" i="5" s="1"/>
  <c r="B9" i="5"/>
  <c r="F9" i="5" s="1"/>
  <c r="F24" i="5" s="1"/>
  <c r="C8" i="5"/>
  <c r="G8" i="5" s="1"/>
  <c r="B8" i="5"/>
  <c r="F8" i="5" s="1"/>
  <c r="C30" i="5"/>
  <c r="C22" i="5"/>
  <c r="C14" i="5"/>
  <c r="C6" i="5"/>
  <c r="B22" i="5"/>
  <c r="B14" i="5"/>
  <c r="B6" i="5"/>
  <c r="G19" i="1"/>
  <c r="G18" i="1"/>
  <c r="O18" i="4"/>
  <c r="O20" i="4" s="1"/>
  <c r="O22" i="4" s="1"/>
  <c r="O5" i="1" s="1"/>
  <c r="N18" i="4"/>
  <c r="M5" i="4"/>
  <c r="H15" i="4"/>
  <c r="I15" i="4"/>
  <c r="J15" i="4"/>
  <c r="G15" i="4"/>
  <c r="C15" i="4"/>
  <c r="D15" i="4"/>
  <c r="E15" i="4"/>
  <c r="B15" i="4"/>
  <c r="C8" i="4"/>
  <c r="D8" i="4"/>
  <c r="E8" i="4"/>
  <c r="G8" i="4"/>
  <c r="H8" i="4"/>
  <c r="I8" i="4"/>
  <c r="J8" i="4"/>
  <c r="B8" i="4"/>
  <c r="C7" i="4"/>
  <c r="D7" i="4"/>
  <c r="E7" i="4"/>
  <c r="G7" i="4"/>
  <c r="H7" i="4"/>
  <c r="I7" i="4"/>
  <c r="J7" i="4"/>
  <c r="B7" i="4"/>
  <c r="J6" i="4"/>
  <c r="H6" i="4"/>
  <c r="I6" i="4"/>
  <c r="C6" i="4"/>
  <c r="D6" i="4"/>
  <c r="E6" i="4"/>
  <c r="G6" i="4"/>
  <c r="B6" i="4"/>
  <c r="J11" i="2"/>
  <c r="D11" i="2"/>
  <c r="K21" i="2"/>
  <c r="K22" i="2" s="1"/>
  <c r="L21" i="2"/>
  <c r="L22" i="2" s="1"/>
  <c r="M21" i="2"/>
  <c r="M22" i="2" s="1"/>
  <c r="J21" i="2"/>
  <c r="J22" i="2" s="1"/>
  <c r="E21" i="2"/>
  <c r="E22" i="2" s="1"/>
  <c r="F21" i="2"/>
  <c r="F22" i="2" s="1"/>
  <c r="G21" i="2"/>
  <c r="G22" i="2" s="1"/>
  <c r="D21" i="2"/>
  <c r="D22" i="2" s="1"/>
  <c r="I16" i="2"/>
  <c r="M16" i="2" s="1"/>
  <c r="C16" i="2"/>
  <c r="G16" i="2" s="1"/>
  <c r="I15" i="2"/>
  <c r="J15" i="2" s="1"/>
  <c r="C15" i="2"/>
  <c r="E15" i="2" s="1"/>
  <c r="M23" i="2"/>
  <c r="L23" i="2"/>
  <c r="K23" i="2"/>
  <c r="J23" i="2"/>
  <c r="G23" i="2"/>
  <c r="F23" i="2"/>
  <c r="E23" i="2"/>
  <c r="D23" i="2"/>
  <c r="M14" i="2"/>
  <c r="L14" i="2"/>
  <c r="K14" i="2"/>
  <c r="J14" i="2"/>
  <c r="G14" i="2"/>
  <c r="F14" i="2"/>
  <c r="E14" i="2"/>
  <c r="D14" i="2"/>
  <c r="J10" i="2"/>
  <c r="D10" i="2"/>
  <c r="J9" i="2"/>
  <c r="D9" i="2"/>
  <c r="E6" i="2"/>
  <c r="E12" i="2" s="1"/>
  <c r="E13" i="2" s="1"/>
  <c r="F6" i="2"/>
  <c r="F17" i="2" s="1"/>
  <c r="F19" i="2" s="1"/>
  <c r="G12" i="2"/>
  <c r="G13" i="2" s="1"/>
  <c r="J6" i="2"/>
  <c r="J12" i="2" s="1"/>
  <c r="J13" i="2" s="1"/>
  <c r="K6" i="2"/>
  <c r="K12" i="2" s="1"/>
  <c r="K13" i="2" s="1"/>
  <c r="L6" i="2"/>
  <c r="L17" i="2" s="1"/>
  <c r="L19" i="2" s="1"/>
  <c r="M12" i="2"/>
  <c r="M13" i="2" s="1"/>
  <c r="D6" i="2"/>
  <c r="D18" i="2" s="1"/>
  <c r="D20" i="2" s="1"/>
  <c r="E7" i="2"/>
  <c r="F7" i="2"/>
  <c r="G7" i="2"/>
  <c r="J7" i="2"/>
  <c r="K7" i="2"/>
  <c r="L7" i="2"/>
  <c r="M7" i="2"/>
  <c r="D7" i="2"/>
  <c r="J4" i="2"/>
  <c r="D4" i="2"/>
  <c r="G6" i="1"/>
  <c r="G11" i="1" s="1"/>
  <c r="G14" i="1" s="1"/>
  <c r="B6" i="1"/>
  <c r="B11" i="1" s="1"/>
  <c r="B14" i="1" s="1"/>
  <c r="J5" i="2" l="1"/>
  <c r="J7" i="5"/>
  <c r="J6" i="5"/>
  <c r="K7" i="5"/>
  <c r="K6" i="5"/>
  <c r="C24" i="5"/>
  <c r="G10" i="5"/>
  <c r="G15" i="5" s="1"/>
  <c r="G18" i="5" s="1"/>
  <c r="G23" i="5" s="1"/>
  <c r="G25" i="5" s="1"/>
  <c r="G31" i="5" s="1"/>
  <c r="G33" i="5" s="1"/>
  <c r="L15" i="2"/>
  <c r="K15" i="2"/>
  <c r="M15" i="2"/>
  <c r="F10" i="5"/>
  <c r="F15" i="5" s="1"/>
  <c r="F18" i="5" s="1"/>
  <c r="C11" i="1"/>
  <c r="C14" i="1" s="1"/>
  <c r="M26" i="2"/>
  <c r="M27" i="2" s="1"/>
  <c r="K26" i="2"/>
  <c r="K27" i="2" s="1"/>
  <c r="G26" i="2"/>
  <c r="G27" i="2" s="1"/>
  <c r="E26" i="2"/>
  <c r="E27" i="2" s="1"/>
  <c r="D5" i="2"/>
  <c r="L26" i="2"/>
  <c r="L27" i="2" s="1"/>
  <c r="J26" i="2"/>
  <c r="J27" i="2" s="1"/>
  <c r="F26" i="2"/>
  <c r="F27" i="2" s="1"/>
  <c r="C9" i="4"/>
  <c r="C12" i="4" s="1"/>
  <c r="C21" i="4" s="1"/>
  <c r="C24" i="4" s="1"/>
  <c r="B9" i="4"/>
  <c r="B12" i="4" s="1"/>
  <c r="B21" i="4" s="1"/>
  <c r="B24" i="4" s="1"/>
  <c r="B24" i="5"/>
  <c r="F12" i="2"/>
  <c r="F13" i="2" s="1"/>
  <c r="D17" i="2"/>
  <c r="D19" i="2" s="1"/>
  <c r="K18" i="2"/>
  <c r="K20" i="2" s="1"/>
  <c r="D26" i="2"/>
  <c r="D27" i="2" s="1"/>
  <c r="J17" i="2"/>
  <c r="J19" i="2" s="1"/>
  <c r="E18" i="2"/>
  <c r="E20" i="2" s="1"/>
  <c r="E17" i="2"/>
  <c r="E19" i="2" s="1"/>
  <c r="F18" i="2"/>
  <c r="F20" i="2" s="1"/>
  <c r="L18" i="2"/>
  <c r="L20" i="2" s="1"/>
  <c r="L12" i="2"/>
  <c r="L13" i="2" s="1"/>
  <c r="J18" i="2"/>
  <c r="J20" i="2" s="1"/>
  <c r="K17" i="2"/>
  <c r="K19" i="2" s="1"/>
  <c r="E8" i="2"/>
  <c r="J8" i="2"/>
  <c r="D8" i="2"/>
  <c r="M17" i="2"/>
  <c r="M19" i="2" s="1"/>
  <c r="M18" i="2"/>
  <c r="M20" i="2" s="1"/>
  <c r="G17" i="2"/>
  <c r="G19" i="2" s="1"/>
  <c r="G18" i="2"/>
  <c r="G20" i="2" s="1"/>
  <c r="O4" i="1"/>
  <c r="H9" i="4"/>
  <c r="H12" i="4" s="1"/>
  <c r="H21" i="4" s="1"/>
  <c r="H24" i="4" s="1"/>
  <c r="D9" i="4"/>
  <c r="D12" i="4" s="1"/>
  <c r="D21" i="4" s="1"/>
  <c r="D24" i="4" s="1"/>
  <c r="O21" i="4"/>
  <c r="G9" i="4"/>
  <c r="G12" i="4" s="1"/>
  <c r="G21" i="4" s="1"/>
  <c r="G24" i="4" s="1"/>
  <c r="I9" i="4"/>
  <c r="I12" i="4" s="1"/>
  <c r="I21" i="4" s="1"/>
  <c r="I24" i="4" s="1"/>
  <c r="J9" i="4"/>
  <c r="J12" i="4" s="1"/>
  <c r="J21" i="4" s="1"/>
  <c r="J24" i="4" s="1"/>
  <c r="E9" i="4"/>
  <c r="E12" i="4" s="1"/>
  <c r="E21" i="4" s="1"/>
  <c r="E24" i="4" s="1"/>
  <c r="D16" i="2"/>
  <c r="J16" i="2"/>
  <c r="E16" i="2"/>
  <c r="D15" i="2"/>
  <c r="G15" i="2"/>
  <c r="K16" i="2"/>
  <c r="F15" i="2"/>
  <c r="F16" i="2"/>
  <c r="L16" i="2"/>
  <c r="D12" i="2"/>
  <c r="D13" i="2" s="1"/>
  <c r="H11" i="1"/>
  <c r="D11" i="1"/>
  <c r="I11" i="1"/>
  <c r="E11" i="1"/>
  <c r="J11" i="1"/>
  <c r="F23" i="5" l="1"/>
  <c r="F25" i="5" s="1"/>
  <c r="F31" i="5" s="1"/>
  <c r="F33" i="5" s="1"/>
  <c r="E24" i="2"/>
  <c r="J25" i="2"/>
  <c r="K24" i="2"/>
  <c r="L25" i="2"/>
  <c r="G24" i="2"/>
  <c r="I14" i="1"/>
  <c r="L8" i="2"/>
  <c r="H14" i="1"/>
  <c r="K8" i="2"/>
  <c r="J14" i="1"/>
  <c r="M8" i="2"/>
  <c r="D14" i="1"/>
  <c r="F8" i="2"/>
  <c r="E14" i="1"/>
  <c r="G8" i="2"/>
  <c r="M25" i="2"/>
  <c r="K25" i="2"/>
  <c r="D24" i="2"/>
  <c r="G25" i="2"/>
  <c r="E25" i="2"/>
  <c r="J24" i="2"/>
  <c r="M24" i="2"/>
  <c r="F24" i="2"/>
  <c r="L24" i="2"/>
  <c r="F25" i="2"/>
  <c r="D25" i="2"/>
  <c r="B7" i="5" l="1"/>
  <c r="B10" i="5" s="1"/>
  <c r="B15" i="5" s="1"/>
  <c r="B18" i="5" s="1"/>
  <c r="B23" i="5" s="1"/>
  <c r="B31" i="5" s="1"/>
  <c r="B33" i="5" s="1"/>
  <c r="C7" i="5"/>
  <c r="C10" i="5" s="1"/>
  <c r="M18" i="4"/>
  <c r="M6" i="4"/>
  <c r="M11" i="4"/>
  <c r="M28" i="2"/>
  <c r="M30" i="2" s="1"/>
  <c r="J28" i="2"/>
  <c r="J30" i="2" s="1"/>
  <c r="G28" i="2"/>
  <c r="G30" i="2" s="1"/>
  <c r="L28" i="2"/>
  <c r="L30" i="2" s="1"/>
  <c r="E28" i="2"/>
  <c r="E30" i="2" s="1"/>
  <c r="K28" i="2"/>
  <c r="K30" i="2" s="1"/>
  <c r="F28" i="2"/>
  <c r="F30" i="2" s="1"/>
  <c r="D28" i="2"/>
  <c r="D30" i="2" s="1"/>
  <c r="C37" i="2" l="1"/>
  <c r="M11" i="1"/>
  <c r="J31" i="2"/>
  <c r="B25" i="5"/>
  <c r="B11" i="5"/>
  <c r="C15" i="5"/>
  <c r="C18" i="5" s="1"/>
  <c r="M20" i="4"/>
  <c r="M4" i="1" s="1"/>
  <c r="P18" i="4"/>
  <c r="M31" i="2"/>
  <c r="E31" i="2"/>
  <c r="K31" i="2"/>
  <c r="F31" i="2"/>
  <c r="D31" i="2"/>
  <c r="L31" i="2"/>
  <c r="G31" i="2"/>
  <c r="O7" i="5" l="1"/>
  <c r="M10" i="1"/>
  <c r="M21" i="4"/>
  <c r="O8" i="5" s="1"/>
  <c r="O10" i="5" s="1"/>
  <c r="M22" i="4"/>
  <c r="M5" i="1" s="1"/>
  <c r="C23" i="5"/>
  <c r="B19" i="5"/>
  <c r="M7" i="4"/>
  <c r="C31" i="5" l="1"/>
  <c r="C33" i="5" s="1"/>
  <c r="B34" i="5" s="1"/>
  <c r="C25" i="5"/>
  <c r="B26" i="5" s="1"/>
  <c r="M9" i="4"/>
  <c r="M10" i="4" s="1"/>
  <c r="B39" i="5" l="1"/>
  <c r="B41" i="5" s="1"/>
  <c r="B35" i="5"/>
  <c r="M13" i="4"/>
  <c r="M24" i="4" l="1"/>
  <c r="M7" i="1" s="1"/>
  <c r="C32" i="6" l="1"/>
  <c r="N20" i="4"/>
  <c r="S30" i="6" l="1"/>
  <c r="D9" i="6"/>
  <c r="N4" i="1"/>
  <c r="P20" i="4"/>
  <c r="C52" i="6" s="1"/>
  <c r="N22" i="4"/>
  <c r="N21" i="4"/>
  <c r="P21" i="4" s="1"/>
  <c r="D7" i="6"/>
  <c r="D17" i="6"/>
  <c r="D16" i="6"/>
  <c r="D6" i="6"/>
  <c r="D10" i="6"/>
  <c r="C39" i="6"/>
  <c r="D11" i="6" s="1"/>
  <c r="R30" i="6" l="1"/>
  <c r="P30" i="6"/>
  <c r="Q30" i="6"/>
  <c r="M25" i="4"/>
  <c r="O11" i="5" s="1"/>
  <c r="J9" i="5"/>
  <c r="K9" i="5"/>
  <c r="P22" i="4"/>
  <c r="N5" i="1"/>
  <c r="C34" i="6" s="1"/>
  <c r="D8" i="6" s="1"/>
  <c r="D12" i="6" s="1"/>
  <c r="I26" i="4"/>
  <c r="J26" i="4"/>
  <c r="D26" i="4"/>
  <c r="D28" i="4" s="1"/>
  <c r="B26" i="4"/>
  <c r="B28" i="4" s="1"/>
  <c r="P4" i="1"/>
  <c r="M12" i="1" s="1"/>
  <c r="H26" i="4"/>
  <c r="E26" i="4"/>
  <c r="E28" i="4" s="1"/>
  <c r="C26" i="4"/>
  <c r="C28" i="4" s="1"/>
  <c r="G26" i="4"/>
  <c r="G28" i="4" s="1"/>
  <c r="Q6" i="6" l="1"/>
  <c r="S31" i="6"/>
  <c r="P13" i="5"/>
  <c r="J8" i="5"/>
  <c r="J10" i="5" s="1"/>
  <c r="K8" i="5"/>
  <c r="K10" i="5" s="1"/>
  <c r="P5" i="1"/>
  <c r="H28" i="4"/>
  <c r="J28" i="4"/>
  <c r="I28" i="4"/>
  <c r="L29" i="2"/>
  <c r="L33" i="2" s="1"/>
  <c r="M29" i="2"/>
  <c r="M33" i="2" s="1"/>
  <c r="D29" i="2"/>
  <c r="D33" i="2" s="1"/>
  <c r="E29" i="2"/>
  <c r="E33" i="2" s="1"/>
  <c r="J29" i="2"/>
  <c r="J33" i="2" s="1"/>
  <c r="K29" i="2"/>
  <c r="K33" i="2" s="1"/>
  <c r="G29" i="2"/>
  <c r="G33" i="2" s="1"/>
  <c r="C38" i="2" s="1"/>
  <c r="F29" i="2"/>
  <c r="F33" i="2" s="1"/>
  <c r="J14" i="5" l="1"/>
  <c r="S11" i="6"/>
  <c r="S15" i="6"/>
  <c r="S19" i="6"/>
  <c r="S23" i="6"/>
  <c r="S9" i="6"/>
  <c r="S17" i="6"/>
  <c r="S12" i="6"/>
  <c r="S16" i="6"/>
  <c r="S20" i="6"/>
  <c r="S8" i="6"/>
  <c r="S10" i="6"/>
  <c r="S14" i="6"/>
  <c r="S18" i="6"/>
  <c r="S22" i="6"/>
  <c r="S13" i="6"/>
  <c r="S21" i="6"/>
  <c r="P31" i="6"/>
  <c r="Q31" i="6"/>
  <c r="D19" i="6"/>
  <c r="H29" i="4"/>
  <c r="H30" i="4" s="1"/>
  <c r="C29" i="4"/>
  <c r="C30" i="4" s="1"/>
  <c r="B29" i="4"/>
  <c r="B30" i="4" s="1"/>
  <c r="G29" i="4"/>
  <c r="G30" i="4" s="1"/>
  <c r="I29" i="4"/>
  <c r="I30" i="4" s="1"/>
  <c r="D29" i="4"/>
  <c r="D30" i="4" s="1"/>
  <c r="J29" i="4"/>
  <c r="J30" i="4" s="1"/>
  <c r="E29" i="4"/>
  <c r="E30" i="4" s="1"/>
  <c r="R31" i="6" l="1"/>
  <c r="B32" i="4"/>
  <c r="J18" i="5"/>
  <c r="C51" i="6" s="1"/>
  <c r="D18" i="6" l="1"/>
  <c r="D22" i="6" s="1"/>
  <c r="B33" i="4"/>
  <c r="M8" i="1" s="1"/>
  <c r="D24" i="6" l="1"/>
  <c r="Q7" i="6" s="1"/>
  <c r="Q14" i="6" s="1"/>
  <c r="S32" i="6"/>
  <c r="P32" i="6" s="1"/>
  <c r="P33" i="6" s="1"/>
  <c r="P34" i="6" s="1"/>
  <c r="Q32" i="6" l="1"/>
  <c r="Q33" i="6" s="1"/>
  <c r="Q34" i="6" s="1"/>
  <c r="S33" i="6"/>
  <c r="S34" i="6" s="1"/>
  <c r="M14" i="1"/>
  <c r="R32" i="6"/>
  <c r="R33" i="6" s="1"/>
  <c r="R34" i="6" s="1"/>
  <c r="Q15" i="6"/>
  <c r="Q19" i="6"/>
  <c r="Q21" i="6"/>
  <c r="Q12" i="6"/>
  <c r="H26" i="6"/>
  <c r="M17" i="1" s="1"/>
  <c r="Q20" i="6"/>
  <c r="H25" i="6"/>
  <c r="M16" i="1" s="1"/>
  <c r="Q23" i="6"/>
  <c r="Q17" i="6"/>
  <c r="Q22" i="6"/>
  <c r="Q11" i="6"/>
  <c r="Q13" i="6"/>
  <c r="Q9" i="6"/>
  <c r="Q8" i="6"/>
  <c r="Q10" i="6"/>
  <c r="Q16" i="6"/>
  <c r="Q18" i="6"/>
  <c r="M15" i="1" l="1"/>
</calcChain>
</file>

<file path=xl/sharedStrings.xml><?xml version="1.0" encoding="utf-8"?>
<sst xmlns="http://schemas.openxmlformats.org/spreadsheetml/2006/main" count="422" uniqueCount="334">
  <si>
    <t>Holzart</t>
  </si>
  <si>
    <t>Buche</t>
  </si>
  <si>
    <t>Eiche</t>
  </si>
  <si>
    <t>Jahresvolumen in fm</t>
  </si>
  <si>
    <t>Trocknungsvolumen</t>
  </si>
  <si>
    <t>Brettstärken</t>
  </si>
  <si>
    <t>%-Anteil</t>
  </si>
  <si>
    <t>Mengenanteil in m³</t>
  </si>
  <si>
    <t>zu trocknen</t>
  </si>
  <si>
    <t>Trockenvolumen</t>
  </si>
  <si>
    <t>Stapelmaße</t>
  </si>
  <si>
    <t>Länge (m)</t>
  </si>
  <si>
    <t>Breite (m)</t>
  </si>
  <si>
    <t>Höhe (m)</t>
  </si>
  <si>
    <t>Stapellattendicke</t>
  </si>
  <si>
    <t>Holzfeuchte</t>
  </si>
  <si>
    <t>Anfangsfeuchte</t>
  </si>
  <si>
    <t>Endfeuchte</t>
  </si>
  <si>
    <t>Betriebsdaten</t>
  </si>
  <si>
    <t>Holzform</t>
  </si>
  <si>
    <t>Schnittholz</t>
  </si>
  <si>
    <t>Betriebszeit</t>
  </si>
  <si>
    <t xml:space="preserve">Holzarten </t>
  </si>
  <si>
    <t>Gesamtjahresvolumen in fm</t>
  </si>
  <si>
    <t>Brettstärken in mm</t>
  </si>
  <si>
    <t>Anteil der jeweiligen Brettstärke</t>
  </si>
  <si>
    <t>Volumen je Sortiment in m³</t>
  </si>
  <si>
    <t>Exponent n für Dickenfaktor</t>
  </si>
  <si>
    <t>Trocknungsgefälle TG</t>
  </si>
  <si>
    <r>
      <t>Trocknungszeit t</t>
    </r>
    <r>
      <rPr>
        <sz val="8"/>
        <color theme="1"/>
        <rFont val="Calibri"/>
        <family val="2"/>
        <scheme val="minor"/>
      </rPr>
      <t>tr</t>
    </r>
    <r>
      <rPr>
        <sz val="11"/>
        <color theme="1"/>
        <rFont val="Calibri"/>
        <family val="2"/>
        <scheme val="minor"/>
      </rPr>
      <t xml:space="preserve"> in h</t>
    </r>
  </si>
  <si>
    <r>
      <t>Trocknungszeit t</t>
    </r>
    <r>
      <rPr>
        <sz val="8"/>
        <color theme="1"/>
        <rFont val="Calibri"/>
        <family val="2"/>
        <scheme val="minor"/>
      </rPr>
      <t>tr</t>
    </r>
    <r>
      <rPr>
        <sz val="11"/>
        <color theme="1"/>
        <rFont val="Calibri"/>
        <family val="2"/>
        <scheme val="minor"/>
      </rPr>
      <t xml:space="preserve"> in Tagen</t>
    </r>
  </si>
  <si>
    <r>
      <t>Belegungszeit t</t>
    </r>
    <r>
      <rPr>
        <sz val="8"/>
        <color theme="1"/>
        <rFont val="Calibri"/>
        <family val="2"/>
        <scheme val="minor"/>
      </rPr>
      <t>Bel</t>
    </r>
  </si>
  <si>
    <t>Rohdichte kg/m³</t>
  </si>
  <si>
    <t>TG</t>
  </si>
  <si>
    <t>Laubholz</t>
  </si>
  <si>
    <t>%</t>
  </si>
  <si>
    <t>Ahorn</t>
  </si>
  <si>
    <t>Birke</t>
  </si>
  <si>
    <t>Birnbaum</t>
  </si>
  <si>
    <t>Erle</t>
  </si>
  <si>
    <t>Esche</t>
  </si>
  <si>
    <t>Kirschbaum</t>
  </si>
  <si>
    <t>Linde</t>
  </si>
  <si>
    <t>Pappel</t>
  </si>
  <si>
    <t>Rüster</t>
  </si>
  <si>
    <t>Nadelholz</t>
  </si>
  <si>
    <t>Lärche</t>
  </si>
  <si>
    <t>Tanne</t>
  </si>
  <si>
    <t>ϑ1 in °C</t>
  </si>
  <si>
    <t>ugl 1 in %</t>
  </si>
  <si>
    <t>ϑ2 in °C</t>
  </si>
  <si>
    <t>für ur &gt; ugr</t>
  </si>
  <si>
    <t>für ur &lt; ugr</t>
  </si>
  <si>
    <t>Gruppe</t>
  </si>
  <si>
    <t>Abachi (geringe Ansprüche)</t>
  </si>
  <si>
    <t>Abachi</t>
  </si>
  <si>
    <t>Balsa</t>
  </si>
  <si>
    <t>Weide</t>
  </si>
  <si>
    <t>Ilomba</t>
  </si>
  <si>
    <t>Okoumé</t>
  </si>
  <si>
    <t>Edelkastanie</t>
  </si>
  <si>
    <t>Abura</t>
  </si>
  <si>
    <t>Koto</t>
  </si>
  <si>
    <t>Nussbaum</t>
  </si>
  <si>
    <t>Khaya</t>
  </si>
  <si>
    <t>Makoré</t>
  </si>
  <si>
    <t>Sipo</t>
  </si>
  <si>
    <t>Framiré</t>
  </si>
  <si>
    <t>Meranti, Dark Red</t>
  </si>
  <si>
    <t>Teak</t>
  </si>
  <si>
    <t>Ramin</t>
  </si>
  <si>
    <t>Weißbuche</t>
  </si>
  <si>
    <t>Keruing</t>
  </si>
  <si>
    <t>Kosipo</t>
  </si>
  <si>
    <t>Hickory</t>
  </si>
  <si>
    <t>Tali</t>
  </si>
  <si>
    <t>Wengé</t>
  </si>
  <si>
    <t>Afzelia</t>
  </si>
  <si>
    <t>Buche (hell verlangt)</t>
  </si>
  <si>
    <t>Fichte (geringe Ansprüche)</t>
  </si>
  <si>
    <t>Tanne (geringe Ansprüche)</t>
  </si>
  <si>
    <t>Fichte</t>
  </si>
  <si>
    <t>Kiefer</t>
  </si>
  <si>
    <t>Douglasie</t>
  </si>
  <si>
    <t>Hemlock</t>
  </si>
  <si>
    <t>WR Cedar</t>
  </si>
  <si>
    <t>Brasilkiefer</t>
  </si>
  <si>
    <t>Ugr in %</t>
  </si>
  <si>
    <t>Azobe/Bongossi</t>
  </si>
  <si>
    <t>Iroko/Kambala</t>
  </si>
  <si>
    <t>Anzahl der Lagen</t>
  </si>
  <si>
    <t>Stapelhöhe hast</t>
  </si>
  <si>
    <t>Brettstärke db</t>
  </si>
  <si>
    <t>Lattendicke dl</t>
  </si>
  <si>
    <t>Anzahl der Lagen n</t>
  </si>
  <si>
    <t>Faktor der Höhe</t>
  </si>
  <si>
    <t>Höhenfaktor fh</t>
  </si>
  <si>
    <t>Faktor der Länge</t>
  </si>
  <si>
    <t>Längenfaktor fl</t>
  </si>
  <si>
    <t>Faktor der Breite</t>
  </si>
  <si>
    <t>Breitenfaktor fb</t>
  </si>
  <si>
    <t>Faktor des Stapels</t>
  </si>
  <si>
    <t>Stapelfaktor fs</t>
  </si>
  <si>
    <t>Holzvolumen</t>
  </si>
  <si>
    <t>Chargen pro Jahr</t>
  </si>
  <si>
    <t>benötigte Zeit ohne 59er</t>
  </si>
  <si>
    <t>h</t>
  </si>
  <si>
    <t>Verfügbare Zeit</t>
  </si>
  <si>
    <t>Auslastung</t>
  </si>
  <si>
    <t>m³ je Stapel</t>
  </si>
  <si>
    <t>Komplettes Volumen</t>
  </si>
  <si>
    <t>Ermittlung der Kammergröße</t>
  </si>
  <si>
    <t>Trocknungsstunden</t>
  </si>
  <si>
    <t>Mittlere ttr</t>
  </si>
  <si>
    <t>m³ Holz je Charge</t>
  </si>
  <si>
    <r>
      <rPr>
        <sz val="11"/>
        <color theme="1"/>
        <rFont val="Calibri"/>
        <family val="2"/>
      </rPr>
      <t>Ø</t>
    </r>
    <r>
      <rPr>
        <sz val="11"/>
        <color theme="1"/>
        <rFont val="Calibri"/>
        <family val="2"/>
        <scheme val="minor"/>
      </rPr>
      <t>m³ Holz je Stapel</t>
    </r>
  </si>
  <si>
    <t>Stapelanzahl mittel</t>
  </si>
  <si>
    <t>Stapelraum</t>
  </si>
  <si>
    <t>Länge</t>
  </si>
  <si>
    <t>Breite</t>
  </si>
  <si>
    <t>Höhe</t>
  </si>
  <si>
    <t>max. Nutzraum</t>
  </si>
  <si>
    <t>Zwischenluft</t>
  </si>
  <si>
    <t>Anzahl Stapel</t>
  </si>
  <si>
    <t>Brutto-Stapelraum</t>
  </si>
  <si>
    <t>Netto-Stapelraum</t>
  </si>
  <si>
    <t>Anzahl Kammern</t>
  </si>
  <si>
    <t>m³ je Kammer</t>
  </si>
  <si>
    <t>benötigte Zeit</t>
  </si>
  <si>
    <t>Kammergröße</t>
  </si>
  <si>
    <t>Bruttonutzraum</t>
  </si>
  <si>
    <t>mittlere ttr</t>
  </si>
  <si>
    <t>Ø m³ Holz/Stapel</t>
  </si>
  <si>
    <t>Berechnung der benötigten Energiemenge</t>
  </si>
  <si>
    <t xml:space="preserve"> </t>
  </si>
  <si>
    <r>
      <t>Masse des darrtrockenen Holzes m</t>
    </r>
    <r>
      <rPr>
        <sz val="8"/>
        <color theme="0"/>
        <rFont val="Calibri"/>
        <family val="2"/>
        <scheme val="minor"/>
      </rPr>
      <t>0</t>
    </r>
  </si>
  <si>
    <r>
      <t>m</t>
    </r>
    <r>
      <rPr>
        <sz val="8"/>
        <color theme="0"/>
        <rFont val="Calibri"/>
        <family val="2"/>
        <scheme val="minor"/>
      </rPr>
      <t>0</t>
    </r>
    <r>
      <rPr>
        <sz val="11"/>
        <color theme="0"/>
        <rFont val="Calibri"/>
        <family val="2"/>
        <scheme val="minor"/>
      </rPr>
      <t xml:space="preserve"> = V</t>
    </r>
    <r>
      <rPr>
        <sz val="8"/>
        <color theme="0"/>
        <rFont val="Calibri"/>
        <family val="2"/>
        <scheme val="minor"/>
      </rPr>
      <t>u</t>
    </r>
    <r>
      <rPr>
        <sz val="11"/>
        <color theme="0"/>
        <rFont val="Calibri"/>
        <family val="2"/>
        <scheme val="minor"/>
      </rPr>
      <t>*(1-</t>
    </r>
    <r>
      <rPr>
        <sz val="11"/>
        <color theme="0"/>
        <rFont val="Calibri"/>
        <family val="2"/>
      </rPr>
      <t>β</t>
    </r>
    <r>
      <rPr>
        <sz val="8"/>
        <color theme="0"/>
        <rFont val="Calibri"/>
        <family val="2"/>
      </rPr>
      <t>v max</t>
    </r>
    <r>
      <rPr>
        <sz val="11"/>
        <color theme="0"/>
        <rFont val="Calibri"/>
        <family val="2"/>
      </rPr>
      <t>)*ρ</t>
    </r>
    <r>
      <rPr>
        <sz val="8"/>
        <color theme="0"/>
        <rFont val="Calibri"/>
        <family val="2"/>
      </rPr>
      <t>0</t>
    </r>
  </si>
  <si>
    <t>V in m³</t>
  </si>
  <si>
    <r>
      <rPr>
        <sz val="11"/>
        <color theme="0"/>
        <rFont val="Calibri"/>
        <family val="2"/>
      </rPr>
      <t>β</t>
    </r>
    <r>
      <rPr>
        <sz val="8"/>
        <color theme="0"/>
        <rFont val="Calibri"/>
        <family val="2"/>
        <scheme val="minor"/>
      </rPr>
      <t>v max</t>
    </r>
  </si>
  <si>
    <r>
      <t>ρ</t>
    </r>
    <r>
      <rPr>
        <sz val="8"/>
        <color theme="0"/>
        <rFont val="Calibri"/>
        <family val="2"/>
        <scheme val="minor"/>
      </rPr>
      <t>0 in kg/m³</t>
    </r>
  </si>
  <si>
    <t>m0 in kg</t>
  </si>
  <si>
    <t>m0ges in kg</t>
  </si>
  <si>
    <t>Masse des aus dem Holz zu entziehenden Wassers mw</t>
  </si>
  <si>
    <t>mw=m0*(ua-ue)</t>
  </si>
  <si>
    <t>mo in kg</t>
  </si>
  <si>
    <t>ua</t>
  </si>
  <si>
    <t>ue</t>
  </si>
  <si>
    <t>mw</t>
  </si>
  <si>
    <t>mw ges in kg</t>
  </si>
  <si>
    <t>Notwendiger Wärmeenergiebedarf W</t>
  </si>
  <si>
    <t>W=mW*qD</t>
  </si>
  <si>
    <t>W</t>
  </si>
  <si>
    <t>W ges in kWh/a</t>
  </si>
  <si>
    <t>W benötigt in kWh/a</t>
  </si>
  <si>
    <t>m³</t>
  </si>
  <si>
    <t>Abschreibung</t>
  </si>
  <si>
    <t>durchschnittliche mittlere Heizleistung</t>
  </si>
  <si>
    <t>Betriebsstunden</t>
  </si>
  <si>
    <t>Wiw=mW*qD</t>
  </si>
  <si>
    <t>Wärmeverlust qv in %</t>
  </si>
  <si>
    <t>Wiw in kWh/a</t>
  </si>
  <si>
    <t>Wiw ges in MWh/a</t>
  </si>
  <si>
    <t>Holz</t>
  </si>
  <si>
    <t>Wasser</t>
  </si>
  <si>
    <t>Luft</t>
  </si>
  <si>
    <t>Wärmeverlust</t>
  </si>
  <si>
    <t xml:space="preserve">Aufheizwärmebedarf </t>
  </si>
  <si>
    <t>kWh/m³</t>
  </si>
  <si>
    <t>Gesamtinvestition</t>
  </si>
  <si>
    <t>Abschreibungssatz</t>
  </si>
  <si>
    <t>Holzmenge pro Jahr</t>
  </si>
  <si>
    <t>Betriebsfläche</t>
  </si>
  <si>
    <t>Flächenwert</t>
  </si>
  <si>
    <t>kalk. Zinsen</t>
  </si>
  <si>
    <t>Hilfsmittelmenge</t>
  </si>
  <si>
    <t>Hilfsmittelkosten</t>
  </si>
  <si>
    <t>Lagerumschläge</t>
  </si>
  <si>
    <t>Stapelzeit</t>
  </si>
  <si>
    <t>Lohnsatz "Stapeln"</t>
  </si>
  <si>
    <t>Förderzeit</t>
  </si>
  <si>
    <t>Stundensatz "Fördermittel"</t>
  </si>
  <si>
    <t>Überwachungsdauer</t>
  </si>
  <si>
    <t>jährl. Betriebzeit</t>
  </si>
  <si>
    <t>Lohnsatz "Überwachen"</t>
  </si>
  <si>
    <t>Faktor Reparatur+Instandhaltung</t>
  </si>
  <si>
    <t>Fixkosten</t>
  </si>
  <si>
    <t>KA</t>
  </si>
  <si>
    <t>Verzinsung</t>
  </si>
  <si>
    <t>KZ</t>
  </si>
  <si>
    <t>Platzkosten</t>
  </si>
  <si>
    <t>KP</t>
  </si>
  <si>
    <t>Platzausbaukosten</t>
  </si>
  <si>
    <t>KPB</t>
  </si>
  <si>
    <t>KVS</t>
  </si>
  <si>
    <t>Faktor Versicherung+Steuern</t>
  </si>
  <si>
    <t>Versicherung und Steuern</t>
  </si>
  <si>
    <t>Hilfsmittel</t>
  </si>
  <si>
    <t>KH</t>
  </si>
  <si>
    <t>Abschreibungssatz Hilfsmittel</t>
  </si>
  <si>
    <t>Summe Fixkosten</t>
  </si>
  <si>
    <t>Variable Kosten</t>
  </si>
  <si>
    <t>Stapel- und Förderkosten</t>
  </si>
  <si>
    <t>KFS</t>
  </si>
  <si>
    <t>Überwachung + Steuerung</t>
  </si>
  <si>
    <t>KÜ</t>
  </si>
  <si>
    <t>Reperatur- und Instandhaltung</t>
  </si>
  <si>
    <t>KR</t>
  </si>
  <si>
    <t>Trocknungswärmekosten</t>
  </si>
  <si>
    <t>Wärmeenergie</t>
  </si>
  <si>
    <t>KW</t>
  </si>
  <si>
    <t>Lüfterbetrieb</t>
  </si>
  <si>
    <t>Nutzinhalt Kammer</t>
  </si>
  <si>
    <t>KL</t>
  </si>
  <si>
    <t>Kapitalverzinsung Lagervorrat</t>
  </si>
  <si>
    <t>KZL</t>
  </si>
  <si>
    <t>Lagerdauer</t>
  </si>
  <si>
    <t>Wertverlust</t>
  </si>
  <si>
    <t>KV</t>
  </si>
  <si>
    <t>Faktor Wertverlust</t>
  </si>
  <si>
    <t>Summe Variable Kosten</t>
  </si>
  <si>
    <t>Summe Trocknungskosten</t>
  </si>
  <si>
    <t>Tiefe</t>
  </si>
  <si>
    <t xml:space="preserve">Holzverkaufspreis </t>
  </si>
  <si>
    <t>mög. m³ pro Jahr</t>
  </si>
  <si>
    <t>Laufleistung</t>
  </si>
  <si>
    <t>Abschreibungsdauer</t>
  </si>
  <si>
    <t>Mittlere Trockenzeit ttr in h</t>
  </si>
  <si>
    <t>gewählte Trocknungssortimente</t>
  </si>
  <si>
    <t xml:space="preserve">qD </t>
  </si>
  <si>
    <r>
      <t>m</t>
    </r>
    <r>
      <rPr>
        <sz val="8"/>
        <color theme="0"/>
        <rFont val="Calibri"/>
        <family val="2"/>
        <scheme val="minor"/>
      </rPr>
      <t>0</t>
    </r>
    <r>
      <rPr>
        <sz val="11"/>
        <color theme="0"/>
        <rFont val="Calibri"/>
        <family val="2"/>
        <scheme val="minor"/>
      </rPr>
      <t xml:space="preserve"> in kg</t>
    </r>
  </si>
  <si>
    <t>W in kWh/m³</t>
  </si>
  <si>
    <r>
      <t>q</t>
    </r>
    <r>
      <rPr>
        <sz val="8"/>
        <color theme="0"/>
        <rFont val="Calibri"/>
        <family val="2"/>
        <scheme val="minor"/>
      </rPr>
      <t xml:space="preserve">D </t>
    </r>
  </si>
  <si>
    <t>Notwendiger Wärmeenergiebedarf W unter Berücksichtigung von Wärmeverlust</t>
  </si>
  <si>
    <r>
      <rPr>
        <sz val="11"/>
        <color theme="0"/>
        <rFont val="Calibri"/>
        <family val="2"/>
      </rPr>
      <t>Ø</t>
    </r>
    <r>
      <rPr>
        <sz val="11"/>
        <color theme="0"/>
        <rFont val="Calibri"/>
        <family val="2"/>
        <scheme val="minor"/>
      </rPr>
      <t xml:space="preserve"> Heizleistung in kW</t>
    </r>
  </si>
  <si>
    <t>m³ Holz je Kammer</t>
  </si>
  <si>
    <t xml:space="preserve">Wärmeenergie </t>
  </si>
  <si>
    <t>gesamt für die Trocknung</t>
  </si>
  <si>
    <t>pro m³ für die Trocknung</t>
  </si>
  <si>
    <t>pro m³ für das Aufheizen</t>
  </si>
  <si>
    <t>Elektrische Energie</t>
  </si>
  <si>
    <t>Lüfterenergie</t>
  </si>
  <si>
    <t>Lüfterleistung</t>
  </si>
  <si>
    <t>Anzahl Lüfter</t>
  </si>
  <si>
    <t>Wirkungsgrad</t>
  </si>
  <si>
    <t>Strombedarf je Ch</t>
  </si>
  <si>
    <t>Strombedarf pro m³</t>
  </si>
  <si>
    <t>kW</t>
  </si>
  <si>
    <t>kWh/Ch</t>
  </si>
  <si>
    <t>Datensammlung</t>
  </si>
  <si>
    <r>
      <t xml:space="preserve">Schwundmaß </t>
    </r>
    <r>
      <rPr>
        <sz val="11"/>
        <color theme="1"/>
        <rFont val="Calibri"/>
        <family val="2"/>
      </rPr>
      <t>βv</t>
    </r>
  </si>
  <si>
    <t>Gesamtkosten der Trocknung pro m³</t>
  </si>
  <si>
    <r>
      <t>K</t>
    </r>
    <r>
      <rPr>
        <sz val="8"/>
        <color theme="1"/>
        <rFont val="Calibri"/>
        <family val="2"/>
        <scheme val="minor"/>
      </rPr>
      <t>f</t>
    </r>
  </si>
  <si>
    <r>
      <t>K</t>
    </r>
    <r>
      <rPr>
        <sz val="8"/>
        <color theme="1"/>
        <rFont val="Calibri"/>
        <family val="2"/>
        <scheme val="minor"/>
      </rPr>
      <t>v</t>
    </r>
  </si>
  <si>
    <r>
      <t>K</t>
    </r>
    <r>
      <rPr>
        <sz val="8"/>
        <color theme="1"/>
        <rFont val="Calibri"/>
        <family val="2"/>
        <scheme val="minor"/>
      </rPr>
      <t>ges</t>
    </r>
  </si>
  <si>
    <t>Stromkosten</t>
  </si>
  <si>
    <t>€/m³</t>
  </si>
  <si>
    <t>Energiebedarf gesamt je m³</t>
  </si>
  <si>
    <t>benötigte Chargen</t>
  </si>
  <si>
    <t>benötige Zeit</t>
  </si>
  <si>
    <t>Betreibstage pro Jahr</t>
  </si>
  <si>
    <t>Betriebszeit pro Tag</t>
  </si>
  <si>
    <t>Betriebsstunden pro Jahr</t>
  </si>
  <si>
    <t>Bereitstellungsfläche</t>
  </si>
  <si>
    <t>Ausbaukosten</t>
  </si>
  <si>
    <t>Wärmeenergiebedarf</t>
  </si>
  <si>
    <t>Heizmedium</t>
  </si>
  <si>
    <t>€/kWh</t>
  </si>
  <si>
    <t>Menge</t>
  </si>
  <si>
    <t>Trockenkosten</t>
  </si>
  <si>
    <t>Verkauserlös</t>
  </si>
  <si>
    <t>Fix €/Jahr</t>
  </si>
  <si>
    <t>Variabel €/Stk.</t>
  </si>
  <si>
    <t>Rundholzkostenanteil</t>
  </si>
  <si>
    <t>kritische Menge</t>
  </si>
  <si>
    <r>
      <t>M</t>
    </r>
    <r>
      <rPr>
        <sz val="8"/>
        <color theme="1"/>
        <rFont val="Calibri"/>
        <family val="2"/>
        <scheme val="minor"/>
      </rPr>
      <t>kr</t>
    </r>
  </si>
  <si>
    <t>Auslastung pro Jahr</t>
  </si>
  <si>
    <t>Trocknung</t>
  </si>
  <si>
    <t>h/a</t>
  </si>
  <si>
    <t>m³/a</t>
  </si>
  <si>
    <t xml:space="preserve">Fixe Kosten </t>
  </si>
  <si>
    <t>Gesamtkosten</t>
  </si>
  <si>
    <t>€/h</t>
  </si>
  <si>
    <t>BEP-Umsatz</t>
  </si>
  <si>
    <t>€</t>
  </si>
  <si>
    <t>Trockenkosten pro m³</t>
  </si>
  <si>
    <t>kritische Menge Mkr</t>
  </si>
  <si>
    <t>m³/Ch</t>
  </si>
  <si>
    <t>Gesamtkosten pro m³</t>
  </si>
  <si>
    <t>Öl</t>
  </si>
  <si>
    <t>Hackschnitzel</t>
  </si>
  <si>
    <t>Gas</t>
  </si>
  <si>
    <t>Preisliste Heizmedien</t>
  </si>
  <si>
    <t>Heizwert</t>
  </si>
  <si>
    <t>€/l</t>
  </si>
  <si>
    <t>€/kg</t>
  </si>
  <si>
    <t>kWh/l</t>
  </si>
  <si>
    <t>kWh/kg</t>
  </si>
  <si>
    <t>Preis je Einheit</t>
  </si>
  <si>
    <t>Energiekosten</t>
  </si>
  <si>
    <t>Trockenzeitberechnung</t>
  </si>
  <si>
    <t>Volumenberechnung</t>
  </si>
  <si>
    <t>Errechnung des benötigten Nutzraumes eines Stapels</t>
  </si>
  <si>
    <t>Formel n=Höhe/(Brettstärke+Lattendicke)</t>
  </si>
  <si>
    <t>Formel fh=n*db/hast</t>
  </si>
  <si>
    <t>Formel L/L max</t>
  </si>
  <si>
    <t>Formel fs=fh*fl*fb</t>
  </si>
  <si>
    <t>Formel VHSt=L*B*H*fs</t>
  </si>
  <si>
    <t>Formel VHK=VHSt*nSt</t>
  </si>
  <si>
    <t>Berechnung der Kosten</t>
  </si>
  <si>
    <t>Hauptseite: Eingabe der Stammdaten</t>
  </si>
  <si>
    <r>
      <t>Anfangsfeuchten u</t>
    </r>
    <r>
      <rPr>
        <sz val="8"/>
        <color theme="0"/>
        <rFont val="Calibri"/>
        <family val="2"/>
        <scheme val="minor"/>
      </rPr>
      <t>a</t>
    </r>
    <r>
      <rPr>
        <sz val="11"/>
        <color theme="0"/>
        <rFont val="Calibri"/>
        <family val="2"/>
        <scheme val="minor"/>
      </rPr>
      <t xml:space="preserve"> in %</t>
    </r>
  </si>
  <si>
    <r>
      <t>Endfeuchten u</t>
    </r>
    <r>
      <rPr>
        <sz val="8"/>
        <color theme="0"/>
        <rFont val="Calibri"/>
        <family val="2"/>
        <scheme val="minor"/>
      </rPr>
      <t>e</t>
    </r>
    <r>
      <rPr>
        <sz val="11"/>
        <color theme="0"/>
        <rFont val="Calibri"/>
        <family val="2"/>
        <scheme val="minor"/>
      </rPr>
      <t xml:space="preserve">  in %</t>
    </r>
  </si>
  <si>
    <r>
      <t>Grenzfeuchten u</t>
    </r>
    <r>
      <rPr>
        <sz val="8"/>
        <color theme="0"/>
        <rFont val="Calibri"/>
        <family val="2"/>
        <scheme val="minor"/>
      </rPr>
      <t>gr</t>
    </r>
    <r>
      <rPr>
        <sz val="11"/>
        <color theme="0"/>
        <rFont val="Calibri"/>
        <family val="2"/>
        <scheme val="minor"/>
      </rPr>
      <t xml:space="preserve"> in %</t>
    </r>
  </si>
  <si>
    <r>
      <t>Faktor der Dicke f</t>
    </r>
    <r>
      <rPr>
        <sz val="8"/>
        <color theme="0"/>
        <rFont val="Calibri"/>
        <family val="2"/>
        <scheme val="minor"/>
      </rPr>
      <t>d</t>
    </r>
  </si>
  <si>
    <r>
      <t>Faktor der Form f</t>
    </r>
    <r>
      <rPr>
        <sz val="8"/>
        <color theme="0"/>
        <rFont val="Calibri"/>
        <family val="2"/>
        <scheme val="minor"/>
      </rPr>
      <t>F</t>
    </r>
  </si>
  <si>
    <r>
      <t>Faktor der Holzart f</t>
    </r>
    <r>
      <rPr>
        <sz val="8"/>
        <color theme="0"/>
        <rFont val="Calibri"/>
        <family val="2"/>
        <scheme val="minor"/>
      </rPr>
      <t>H</t>
    </r>
  </si>
  <si>
    <r>
      <t xml:space="preserve">Temperatur </t>
    </r>
    <r>
      <rPr>
        <sz val="11"/>
        <color theme="0"/>
        <rFont val="Calibri"/>
        <family val="2"/>
      </rPr>
      <t>ϑ</t>
    </r>
    <r>
      <rPr>
        <sz val="8"/>
        <color theme="0"/>
        <rFont val="Calibri"/>
        <family val="2"/>
      </rPr>
      <t>1</t>
    </r>
    <r>
      <rPr>
        <sz val="11"/>
        <color theme="0"/>
        <rFont val="Calibri"/>
        <family val="2"/>
      </rPr>
      <t xml:space="preserve"> in °C</t>
    </r>
  </si>
  <si>
    <r>
      <t>Temperatur ϑ</t>
    </r>
    <r>
      <rPr>
        <sz val="8"/>
        <color theme="0"/>
        <rFont val="Calibri"/>
        <family val="2"/>
        <scheme val="minor"/>
      </rPr>
      <t>2</t>
    </r>
    <r>
      <rPr>
        <sz val="11"/>
        <color theme="0"/>
        <rFont val="Calibri"/>
        <family val="2"/>
        <scheme val="minor"/>
      </rPr>
      <t xml:space="preserve"> in °C</t>
    </r>
  </si>
  <si>
    <r>
      <t>Faktor der Temperatur f</t>
    </r>
    <r>
      <rPr>
        <sz val="8"/>
        <color theme="0"/>
        <rFont val="Calibri"/>
        <family val="2"/>
      </rPr>
      <t>ϑ1</t>
    </r>
  </si>
  <si>
    <r>
      <t>Faktor der Temperatur f</t>
    </r>
    <r>
      <rPr>
        <sz val="8"/>
        <color theme="0"/>
        <rFont val="Calibri"/>
        <family val="2"/>
        <scheme val="minor"/>
      </rPr>
      <t>ϑ2</t>
    </r>
  </si>
  <si>
    <r>
      <t>Faktor für Trocknungsgefälle f</t>
    </r>
    <r>
      <rPr>
        <sz val="8"/>
        <color theme="0"/>
        <rFont val="Calibri"/>
        <family val="2"/>
        <scheme val="minor"/>
      </rPr>
      <t>TG</t>
    </r>
  </si>
  <si>
    <r>
      <t>Faktor der Betriebszeit der Heizung f</t>
    </r>
    <r>
      <rPr>
        <sz val="8"/>
        <color theme="0"/>
        <rFont val="Calibri"/>
        <family val="2"/>
        <scheme val="minor"/>
      </rPr>
      <t>BH</t>
    </r>
  </si>
  <si>
    <r>
      <t>Trocknung oberhalb der Grenzfeuchte t</t>
    </r>
    <r>
      <rPr>
        <sz val="9"/>
        <color theme="0"/>
        <rFont val="Calibri"/>
        <family val="2"/>
        <scheme val="minor"/>
      </rPr>
      <t>e1</t>
    </r>
    <r>
      <rPr>
        <sz val="11"/>
        <color theme="0"/>
        <rFont val="Calibri"/>
        <family val="2"/>
        <scheme val="minor"/>
      </rPr>
      <t xml:space="preserve"> in h</t>
    </r>
  </si>
  <si>
    <r>
      <t>Trocknung unterhalb der Grenzfeuchte t</t>
    </r>
    <r>
      <rPr>
        <sz val="9"/>
        <color theme="0"/>
        <rFont val="Calibri"/>
        <family val="2"/>
        <scheme val="minor"/>
      </rPr>
      <t>e2</t>
    </r>
    <r>
      <rPr>
        <sz val="11"/>
        <color theme="0"/>
        <rFont val="Calibri"/>
        <family val="2"/>
        <scheme val="minor"/>
      </rPr>
      <t xml:space="preserve"> in h</t>
    </r>
  </si>
  <si>
    <r>
      <t>Aufheizzeit t</t>
    </r>
    <r>
      <rPr>
        <sz val="8"/>
        <color theme="0"/>
        <rFont val="Calibri"/>
        <family val="2"/>
        <scheme val="minor"/>
      </rPr>
      <t>a</t>
    </r>
    <r>
      <rPr>
        <sz val="11"/>
        <color theme="0"/>
        <rFont val="Calibri"/>
        <family val="2"/>
        <scheme val="minor"/>
      </rPr>
      <t xml:space="preserve"> in h</t>
    </r>
  </si>
  <si>
    <r>
      <t>Abkühlzeit t</t>
    </r>
    <r>
      <rPr>
        <sz val="8"/>
        <color theme="0"/>
        <rFont val="Calibri"/>
        <family val="2"/>
        <scheme val="minor"/>
      </rPr>
      <t>ab</t>
    </r>
    <r>
      <rPr>
        <sz val="11"/>
        <color theme="0"/>
        <rFont val="Calibri"/>
        <family val="2"/>
        <scheme val="minor"/>
      </rPr>
      <t xml:space="preserve"> in h</t>
    </r>
  </si>
  <si>
    <r>
      <t>Konditionierzeit t</t>
    </r>
    <r>
      <rPr>
        <sz val="8"/>
        <color theme="0"/>
        <rFont val="Calibri"/>
        <family val="2"/>
        <scheme val="minor"/>
      </rPr>
      <t>k</t>
    </r>
    <r>
      <rPr>
        <sz val="11"/>
        <color theme="0"/>
        <rFont val="Calibri"/>
        <family val="2"/>
        <scheme val="minor"/>
      </rPr>
      <t xml:space="preserve"> in h</t>
    </r>
  </si>
  <si>
    <r>
      <t>Beladungszeiten t</t>
    </r>
    <r>
      <rPr>
        <sz val="8"/>
        <color theme="0"/>
        <rFont val="Calibri"/>
        <family val="2"/>
        <scheme val="minor"/>
      </rPr>
      <t>m</t>
    </r>
  </si>
  <si>
    <t>€     inkl. Rundholzkosten</t>
  </si>
  <si>
    <t>Planung von Trocknungskapazitäten</t>
  </si>
  <si>
    <t>%-Anteil Trocknungsware</t>
  </si>
  <si>
    <t>Anteil Trocknungsware in fm</t>
  </si>
  <si>
    <r>
      <t>„Nasses Schnittholz ist nur ein begrenzt handelsfähiges Gut „.</t>
    </r>
    <r>
      <rPr>
        <sz val="11"/>
        <color theme="1"/>
        <rFont val="Calibri"/>
        <family val="2"/>
        <scheme val="minor"/>
      </rPr>
      <t xml:space="preserve"> Dieser markante Satz des Rosenheimer Professors Th. Trübswetter (</t>
    </r>
    <r>
      <rPr>
        <sz val="11"/>
        <color theme="1"/>
        <rFont val="Arial"/>
        <family val="2"/>
      </rPr>
      <t>†</t>
    </r>
    <r>
      <rPr>
        <sz val="11"/>
        <color theme="1"/>
        <rFont val="Calibri"/>
        <family val="2"/>
        <scheme val="minor"/>
      </rPr>
      <t>) drückt am ehesten den Stellenwert aus, den die technische Holztrocknung einnimmt. Allerdings werden die anfallenden Kosten oft als reine Servicekosten angesehen und die Planung und Kalkulation von Trocknungskammern wegen des damit verbunden Aufwandes gerne allein den Herstellern überlassen. Mit dem auf MS – Excel basierenden Programm „</t>
    </r>
    <r>
      <rPr>
        <b/>
        <sz val="11"/>
        <color theme="1"/>
        <rFont val="Calibri"/>
        <family val="2"/>
        <scheme val="minor"/>
      </rPr>
      <t>Planung von Trocknungskapazitäten</t>
    </r>
    <r>
      <rPr>
        <sz val="11"/>
        <color theme="1"/>
        <rFont val="Calibri"/>
        <family val="2"/>
        <scheme val="minor"/>
      </rPr>
      <t>“ ist es nunmehr möglich, anhand von leicht zu ermittelnden betrieblichen Daten wie z. B. Holzarten, Einschnittstärken und –mengen sowie geforderten Endfeuchten ect., die Kosten von Schnittholztrocknungen vor –bzw. nach zu kalkulieren,. Desweitern können Anlagengrößen geplant und vor auch der Energiebedarf auf Basis verschiedener Energieträger berechnet werden. „</t>
    </r>
    <r>
      <rPr>
        <b/>
        <sz val="11"/>
        <color theme="1"/>
        <rFont val="Calibri"/>
        <family val="2"/>
        <scheme val="minor"/>
      </rPr>
      <t>Planung von Trocknungskapazitäten</t>
    </r>
    <r>
      <rPr>
        <sz val="11"/>
        <color theme="1"/>
        <rFont val="Calibri"/>
        <family val="2"/>
        <scheme val="minor"/>
      </rPr>
      <t>“ ist damit eine nützliche und wertvolle Planungs-und Entscheidungshilfe für die wichtigste „Nebensache“ nach dem Einschnitt.</t>
    </r>
  </si>
  <si>
    <t xml:space="preserve">Das obere Bild zeigt das Technikerteam: Thomas Böhm, Philip Seib, Daniel Bank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</si>
</sst>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
  </numFmts>
  <fonts count="22" x14ac:knownFonts="1">
    <font>
      <sz val="11"/>
      <color theme="1"/>
      <name val="Calibri"/>
      <family val="2"/>
      <scheme val="minor"/>
    </font>
    <font>
      <sz val="11"/>
      <color theme="1"/>
      <name val="Calibri"/>
      <family val="2"/>
    </font>
    <font>
      <sz val="8"/>
      <color theme="1"/>
      <name val="Calibri"/>
      <family val="2"/>
      <scheme val="minor"/>
    </font>
    <font>
      <sz val="10"/>
      <name val="Arial"/>
      <family val="2"/>
    </font>
    <font>
      <b/>
      <sz val="12"/>
      <name val="Arial"/>
      <family val="2"/>
    </font>
    <font>
      <b/>
      <sz val="10"/>
      <name val="Arial"/>
      <family val="2"/>
    </font>
    <font>
      <b/>
      <sz val="11"/>
      <name val="Arial"/>
      <family val="2"/>
    </font>
    <font>
      <sz val="11"/>
      <color theme="1"/>
      <name val="Calibri"/>
      <family val="2"/>
      <scheme val="minor"/>
    </font>
    <font>
      <sz val="11"/>
      <name val="Calibri"/>
      <family val="2"/>
      <scheme val="minor"/>
    </font>
    <font>
      <sz val="11"/>
      <color theme="0"/>
      <name val="Calibri"/>
      <family val="2"/>
      <scheme val="minor"/>
    </font>
    <font>
      <sz val="8"/>
      <color theme="0"/>
      <name val="Calibri"/>
      <family val="2"/>
      <scheme val="minor"/>
    </font>
    <font>
      <sz val="11"/>
      <color theme="0"/>
      <name val="Calibri"/>
      <family val="2"/>
    </font>
    <font>
      <sz val="8"/>
      <color theme="0"/>
      <name val="Calibri"/>
      <family val="2"/>
    </font>
    <font>
      <b/>
      <sz val="11"/>
      <color theme="1"/>
      <name val="Calibri"/>
      <family val="2"/>
      <scheme val="minor"/>
    </font>
    <font>
      <sz val="11"/>
      <color theme="1"/>
      <name val="Times New Roman"/>
      <family val="1"/>
    </font>
    <font>
      <b/>
      <sz val="11"/>
      <color theme="1"/>
      <name val="Times New Roman"/>
      <family val="1"/>
    </font>
    <font>
      <sz val="11"/>
      <color theme="0"/>
      <name val="Times New Roman"/>
      <family val="1"/>
    </font>
    <font>
      <b/>
      <sz val="11"/>
      <color theme="0"/>
      <name val="Calibri"/>
      <family val="2"/>
      <scheme val="minor"/>
    </font>
    <font>
      <sz val="16"/>
      <color theme="0"/>
      <name val="Calibri"/>
      <family val="2"/>
      <scheme val="minor"/>
    </font>
    <font>
      <sz val="9"/>
      <color theme="0"/>
      <name val="Calibri"/>
      <family val="2"/>
      <scheme val="minor"/>
    </font>
    <font>
      <sz val="24"/>
      <color theme="1"/>
      <name val="Calibri"/>
      <family val="2"/>
      <scheme val="minor"/>
    </font>
    <font>
      <sz val="11"/>
      <color theme="1"/>
      <name val="Arial"/>
      <family val="2"/>
    </font>
  </fonts>
  <fills count="2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tint="-0.499984740745262"/>
        <bgColor indexed="64"/>
      </patternFill>
    </fill>
    <fill>
      <patternFill patternType="solid">
        <fgColor theme="6" tint="-0.249977111117893"/>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1" tint="0.499984740745262"/>
        <bgColor indexed="64"/>
      </patternFill>
    </fill>
    <fill>
      <patternFill patternType="solid">
        <fgColor theme="3" tint="-0.249977111117893"/>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00B050"/>
        <bgColor indexed="64"/>
      </patternFill>
    </fill>
    <fill>
      <patternFill patternType="solid">
        <fgColor rgb="FF92D050"/>
        <bgColor indexed="64"/>
      </patternFill>
    </fill>
    <fill>
      <patternFill patternType="solid">
        <fgColor rgb="FF92D050"/>
        <bgColor indexed="51"/>
      </patternFill>
    </fill>
    <fill>
      <patternFill patternType="solid">
        <fgColor theme="0" tint="-0.499984740745262"/>
        <bgColor indexed="51"/>
      </patternFill>
    </fill>
    <fill>
      <patternFill patternType="solid">
        <fgColor theme="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thin">
        <color indexed="64"/>
      </top>
      <bottom style="thin">
        <color indexed="64"/>
      </bottom>
      <diagonal/>
    </border>
    <border>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bottom style="thin">
        <color indexed="64"/>
      </bottom>
      <diagonal/>
    </border>
    <border>
      <left style="double">
        <color indexed="64"/>
      </left>
      <right style="double">
        <color indexed="64"/>
      </right>
      <top/>
      <bottom/>
      <diagonal/>
    </border>
    <border>
      <left style="thin">
        <color indexed="64"/>
      </left>
      <right style="thin">
        <color indexed="64"/>
      </right>
      <top style="double">
        <color indexed="64"/>
      </top>
      <bottom style="thin">
        <color indexed="64"/>
      </bottom>
      <diagonal/>
    </border>
    <border>
      <left style="thick">
        <color auto="1"/>
      </left>
      <right/>
      <top style="thin">
        <color indexed="64"/>
      </top>
      <bottom style="thin">
        <color indexed="64"/>
      </bottom>
      <diagonal/>
    </border>
    <border>
      <left/>
      <right style="thin">
        <color indexed="64"/>
      </right>
      <top style="thick">
        <color auto="1"/>
      </top>
      <bottom/>
      <diagonal/>
    </border>
    <border>
      <left style="thick">
        <color auto="1"/>
      </left>
      <right style="thin">
        <color indexed="64"/>
      </right>
      <top/>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right style="double">
        <color indexed="64"/>
      </right>
      <top style="thin">
        <color indexed="64"/>
      </top>
      <bottom style="thin">
        <color indexed="64"/>
      </bottom>
      <diagonal/>
    </border>
    <border>
      <left style="thick">
        <color auto="1"/>
      </left>
      <right style="thin">
        <color indexed="64"/>
      </right>
      <top style="thin">
        <color indexed="64"/>
      </top>
      <bottom/>
      <diagonal/>
    </border>
    <border>
      <left style="double">
        <color indexed="64"/>
      </left>
      <right style="double">
        <color indexed="64"/>
      </right>
      <top style="thin">
        <color indexed="64"/>
      </top>
      <bottom/>
      <diagonal/>
    </border>
  </borders>
  <cellStyleXfs count="2">
    <xf numFmtId="0" fontId="0" fillId="0" borderId="0"/>
    <xf numFmtId="0" fontId="3" fillId="0" borderId="0"/>
  </cellStyleXfs>
  <cellXfs count="398">
    <xf numFmtId="0" fontId="0" fillId="0" borderId="0" xfId="0"/>
    <xf numFmtId="0" fontId="0" fillId="0" borderId="0" xfId="0" applyAlignment="1">
      <alignment horizontal="left"/>
    </xf>
    <xf numFmtId="0" fontId="0" fillId="0" borderId="0" xfId="0"/>
    <xf numFmtId="0" fontId="0" fillId="4" borderId="1" xfId="0" applyFill="1" applyBorder="1" applyAlignment="1">
      <alignment horizontal="right" vertical="center"/>
    </xf>
    <xf numFmtId="0" fontId="0" fillId="5" borderId="1" xfId="0" applyFill="1" applyBorder="1" applyAlignment="1">
      <alignment horizontal="right" vertical="center"/>
    </xf>
    <xf numFmtId="166" fontId="0" fillId="5" borderId="1" xfId="0" applyNumberFormat="1" applyFill="1" applyBorder="1" applyAlignment="1">
      <alignment horizontal="right" vertical="center"/>
    </xf>
    <xf numFmtId="2" fontId="0" fillId="8" borderId="1" xfId="0" applyNumberFormat="1" applyFill="1" applyBorder="1" applyAlignment="1">
      <alignment horizontal="right" vertical="center"/>
    </xf>
    <xf numFmtId="0" fontId="8" fillId="0" borderId="1" xfId="1" applyFont="1" applyFill="1" applyBorder="1" applyAlignment="1">
      <alignment horizontal="center"/>
    </xf>
    <xf numFmtId="0" fontId="7" fillId="0" borderId="1" xfId="0" applyFont="1" applyBorder="1" applyAlignment="1">
      <alignment horizontal="center"/>
    </xf>
    <xf numFmtId="166" fontId="8" fillId="0" borderId="1" xfId="1" applyNumberFormat="1" applyFont="1" applyFill="1" applyBorder="1" applyAlignment="1">
      <alignment horizontal="center"/>
    </xf>
    <xf numFmtId="2" fontId="0" fillId="5" borderId="1" xfId="0" applyNumberFormat="1" applyFill="1" applyBorder="1" applyAlignment="1">
      <alignment horizontal="right" vertical="center"/>
    </xf>
    <xf numFmtId="0" fontId="0" fillId="0" borderId="0" xfId="0"/>
    <xf numFmtId="0" fontId="0" fillId="11" borderId="0" xfId="0" applyFill="1"/>
    <xf numFmtId="0" fontId="0" fillId="0" borderId="0" xfId="0" applyFill="1"/>
    <xf numFmtId="166" fontId="0" fillId="0" borderId="0" xfId="0" applyNumberFormat="1"/>
    <xf numFmtId="0" fontId="0" fillId="12" borderId="0" xfId="0" applyFill="1"/>
    <xf numFmtId="0" fontId="0" fillId="12" borderId="0" xfId="0" applyFill="1" applyAlignment="1">
      <alignment wrapText="1"/>
    </xf>
    <xf numFmtId="1" fontId="0" fillId="11" borderId="0" xfId="0" applyNumberFormat="1" applyFill="1"/>
    <xf numFmtId="166" fontId="0" fillId="2" borderId="0" xfId="0" applyNumberFormat="1" applyFill="1"/>
    <xf numFmtId="0" fontId="0" fillId="0" borderId="0" xfId="0" applyFill="1" applyBorder="1"/>
    <xf numFmtId="2" fontId="0" fillId="0" borderId="0" xfId="0" applyNumberFormat="1" applyFill="1"/>
    <xf numFmtId="165" fontId="0" fillId="0" borderId="0" xfId="0" applyNumberFormat="1" applyFill="1"/>
    <xf numFmtId="2" fontId="0" fillId="0" borderId="0" xfId="0" applyNumberFormat="1" applyFill="1" applyBorder="1" applyAlignment="1"/>
    <xf numFmtId="1" fontId="0" fillId="0" borderId="0" xfId="0" applyNumberFormat="1" applyFill="1"/>
    <xf numFmtId="0" fontId="0" fillId="0" borderId="0" xfId="0" applyFill="1" applyBorder="1" applyAlignment="1">
      <alignment vertical="top"/>
    </xf>
    <xf numFmtId="0" fontId="0" fillId="0" borderId="0" xfId="0" applyFill="1" applyAlignment="1">
      <alignment vertical="top"/>
    </xf>
    <xf numFmtId="0" fontId="0" fillId="0" borderId="0" xfId="0" applyBorder="1"/>
    <xf numFmtId="0" fontId="0" fillId="0" borderId="0" xfId="0" applyFill="1" applyBorder="1"/>
    <xf numFmtId="0" fontId="0" fillId="5" borderId="1" xfId="0" applyFill="1" applyBorder="1"/>
    <xf numFmtId="0" fontId="10" fillId="7" borderId="1" xfId="0" applyFont="1" applyFill="1" applyBorder="1"/>
    <xf numFmtId="0" fontId="0" fillId="9" borderId="1" xfId="0" applyFill="1" applyBorder="1"/>
    <xf numFmtId="0" fontId="0" fillId="0" borderId="0" xfId="0"/>
    <xf numFmtId="0" fontId="4" fillId="0" borderId="0" xfId="1" applyFont="1" applyFill="1" applyBorder="1" applyAlignment="1">
      <alignment horizontal="center"/>
    </xf>
    <xf numFmtId="0" fontId="5" fillId="0" borderId="0" xfId="1" applyFont="1" applyFill="1" applyBorder="1" applyAlignment="1">
      <alignment horizontal="center"/>
    </xf>
    <xf numFmtId="2" fontId="5" fillId="0" borderId="0" xfId="1" applyNumberFormat="1" applyFont="1" applyFill="1" applyBorder="1" applyAlignment="1">
      <alignment horizontal="center"/>
    </xf>
    <xf numFmtId="0" fontId="3" fillId="0" borderId="0" xfId="1" applyFill="1" applyBorder="1" applyAlignment="1">
      <alignment horizontal="center"/>
    </xf>
    <xf numFmtId="1" fontId="0" fillId="2" borderId="5" xfId="0" applyNumberFormat="1" applyFill="1" applyBorder="1"/>
    <xf numFmtId="1" fontId="0" fillId="2" borderId="5" xfId="0" applyNumberFormat="1" applyFill="1" applyBorder="1" applyProtection="1"/>
    <xf numFmtId="0" fontId="0" fillId="16" borderId="1" xfId="0" applyFill="1" applyBorder="1"/>
    <xf numFmtId="166" fontId="0" fillId="9" borderId="1" xfId="0" applyNumberFormat="1" applyFill="1" applyBorder="1"/>
    <xf numFmtId="2" fontId="0" fillId="0" borderId="0" xfId="0" applyNumberFormat="1"/>
    <xf numFmtId="0" fontId="0" fillId="0" borderId="0" xfId="0"/>
    <xf numFmtId="0" fontId="0" fillId="0" borderId="0" xfId="0"/>
    <xf numFmtId="0" fontId="1" fillId="0" borderId="0" xfId="0" applyFont="1" applyFill="1"/>
    <xf numFmtId="0" fontId="0" fillId="0" borderId="0" xfId="0"/>
    <xf numFmtId="0" fontId="0" fillId="0" borderId="0" xfId="0"/>
    <xf numFmtId="0" fontId="0" fillId="0" borderId="0" xfId="0" applyBorder="1" applyAlignment="1"/>
    <xf numFmtId="0" fontId="0" fillId="0" borderId="0" xfId="0" applyAlignment="1">
      <alignment horizontal="right"/>
    </xf>
    <xf numFmtId="0" fontId="0" fillId="0" borderId="0" xfId="0" applyAlignment="1">
      <alignment vertical="top"/>
    </xf>
    <xf numFmtId="0" fontId="0" fillId="0" borderId="0" xfId="0" applyAlignment="1">
      <alignment horizontal="left" vertical="top"/>
    </xf>
    <xf numFmtId="0" fontId="0" fillId="17" borderId="1" xfId="0" applyFill="1" applyBorder="1"/>
    <xf numFmtId="10" fontId="0" fillId="17" borderId="1" xfId="0" applyNumberFormat="1" applyFill="1" applyBorder="1" applyAlignment="1">
      <alignment horizontal="right" vertical="center"/>
    </xf>
    <xf numFmtId="1" fontId="0" fillId="17" borderId="1" xfId="0" applyNumberFormat="1" applyFill="1" applyBorder="1"/>
    <xf numFmtId="165" fontId="0" fillId="5" borderId="1" xfId="0" applyNumberFormat="1" applyFill="1" applyBorder="1" applyAlignment="1">
      <alignment horizontal="right" vertical="center"/>
    </xf>
    <xf numFmtId="2" fontId="0" fillId="4" borderId="1" xfId="0" applyNumberFormat="1" applyFill="1" applyBorder="1" applyAlignment="1">
      <alignment horizontal="right" vertical="center"/>
    </xf>
    <xf numFmtId="166" fontId="0" fillId="4" borderId="1" xfId="0" applyNumberFormat="1" applyFill="1" applyBorder="1"/>
    <xf numFmtId="166" fontId="0" fillId="18" borderId="1" xfId="0" applyNumberFormat="1" applyFill="1" applyBorder="1"/>
    <xf numFmtId="0" fontId="0" fillId="13" borderId="1" xfId="0" applyFill="1" applyBorder="1"/>
    <xf numFmtId="0" fontId="0" fillId="10" borderId="1" xfId="0" applyFill="1" applyBorder="1"/>
    <xf numFmtId="1" fontId="0" fillId="13" borderId="1" xfId="0" applyNumberFormat="1" applyFill="1" applyBorder="1"/>
    <xf numFmtId="0" fontId="0" fillId="18" borderId="1" xfId="0" applyFill="1" applyBorder="1"/>
    <xf numFmtId="1" fontId="0" fillId="18" borderId="1" xfId="0" applyNumberFormat="1" applyFill="1" applyBorder="1"/>
    <xf numFmtId="0" fontId="9" fillId="7" borderId="4" xfId="0" applyFont="1" applyFill="1" applyBorder="1"/>
    <xf numFmtId="1" fontId="0" fillId="2" borderId="4" xfId="0" applyNumberFormat="1" applyFill="1" applyBorder="1"/>
    <xf numFmtId="0" fontId="0" fillId="2" borderId="4" xfId="0" applyFill="1" applyBorder="1"/>
    <xf numFmtId="2" fontId="0" fillId="2" borderId="1" xfId="0" applyNumberFormat="1" applyFill="1" applyBorder="1"/>
    <xf numFmtId="2" fontId="0" fillId="18" borderId="4" xfId="0" applyNumberFormat="1" applyFill="1" applyBorder="1"/>
    <xf numFmtId="2" fontId="8" fillId="0" borderId="1" xfId="1" applyNumberFormat="1" applyFont="1" applyFill="1" applyBorder="1"/>
    <xf numFmtId="2" fontId="0" fillId="0" borderId="1" xfId="0" applyNumberFormat="1" applyFont="1" applyFill="1" applyBorder="1"/>
    <xf numFmtId="0" fontId="9" fillId="7" borderId="1" xfId="1" applyFont="1" applyFill="1" applyBorder="1"/>
    <xf numFmtId="0" fontId="7" fillId="22" borderId="1" xfId="0" applyFont="1" applyFill="1" applyBorder="1" applyAlignment="1">
      <alignment horizontal="center" vertical="top"/>
    </xf>
    <xf numFmtId="0" fontId="0" fillId="19" borderId="13" xfId="0" applyFill="1" applyBorder="1"/>
    <xf numFmtId="0" fontId="0" fillId="19" borderId="0" xfId="0" applyFill="1" applyBorder="1"/>
    <xf numFmtId="0" fontId="0" fillId="19" borderId="8" xfId="0" applyFill="1" applyBorder="1"/>
    <xf numFmtId="2" fontId="0" fillId="9" borderId="1" xfId="0" applyNumberFormat="1" applyFill="1" applyBorder="1"/>
    <xf numFmtId="0" fontId="0" fillId="13" borderId="5" xfId="0" applyFill="1" applyBorder="1"/>
    <xf numFmtId="0" fontId="0" fillId="0" borderId="0" xfId="0"/>
    <xf numFmtId="1" fontId="0" fillId="2" borderId="1" xfId="0" applyNumberFormat="1" applyFill="1" applyBorder="1"/>
    <xf numFmtId="0" fontId="9" fillId="7" borderId="1" xfId="0" applyFont="1" applyFill="1" applyBorder="1"/>
    <xf numFmtId="0" fontId="0" fillId="2" borderId="1" xfId="0" applyFill="1" applyBorder="1"/>
    <xf numFmtId="2" fontId="0" fillId="18" borderId="1" xfId="0" applyNumberFormat="1" applyFill="1" applyBorder="1"/>
    <xf numFmtId="0" fontId="8" fillId="23" borderId="1" xfId="1" applyFont="1" applyFill="1" applyBorder="1" applyAlignment="1">
      <alignment horizontal="center" vertical="top"/>
    </xf>
    <xf numFmtId="0" fontId="9" fillId="7" borderId="2" xfId="0" applyFont="1" applyFill="1" applyBorder="1"/>
    <xf numFmtId="0" fontId="14" fillId="0" borderId="1" xfId="0" applyFont="1" applyBorder="1" applyAlignment="1">
      <alignment vertical="center"/>
    </xf>
    <xf numFmtId="0" fontId="14" fillId="0" borderId="31" xfId="0" applyFont="1" applyBorder="1" applyAlignment="1">
      <alignment vertical="center"/>
    </xf>
    <xf numFmtId="2" fontId="14" fillId="0" borderId="1" xfId="0" applyNumberFormat="1" applyFont="1" applyBorder="1" applyAlignment="1">
      <alignment vertical="center"/>
    </xf>
    <xf numFmtId="2" fontId="14" fillId="0" borderId="31" xfId="0" applyNumberFormat="1" applyFont="1" applyBorder="1" applyAlignment="1">
      <alignment vertical="center"/>
    </xf>
    <xf numFmtId="2" fontId="14" fillId="0" borderId="34" xfId="0" applyNumberFormat="1" applyFont="1" applyBorder="1" applyAlignment="1">
      <alignment vertical="center"/>
    </xf>
    <xf numFmtId="2" fontId="14" fillId="0" borderId="35" xfId="0" applyNumberFormat="1" applyFont="1" applyBorder="1" applyAlignment="1">
      <alignment vertical="center"/>
    </xf>
    <xf numFmtId="0" fontId="0" fillId="25" borderId="4" xfId="0" applyFill="1" applyBorder="1"/>
    <xf numFmtId="0" fontId="0" fillId="16" borderId="4" xfId="0" applyFill="1" applyBorder="1"/>
    <xf numFmtId="0" fontId="0" fillId="16" borderId="5" xfId="0" applyFill="1" applyBorder="1"/>
    <xf numFmtId="0" fontId="0" fillId="2" borderId="2" xfId="0" applyFill="1" applyBorder="1"/>
    <xf numFmtId="2" fontId="0" fillId="2" borderId="2" xfId="0" applyNumberFormat="1" applyFill="1" applyBorder="1"/>
    <xf numFmtId="0" fontId="0" fillId="0" borderId="0" xfId="0" applyAlignment="1"/>
    <xf numFmtId="0" fontId="0" fillId="25" borderId="0" xfId="0" applyFill="1"/>
    <xf numFmtId="0" fontId="0" fillId="25" borderId="0" xfId="0" applyFill="1" applyBorder="1"/>
    <xf numFmtId="1" fontId="0" fillId="25" borderId="0" xfId="0" applyNumberFormat="1" applyFill="1" applyBorder="1" applyAlignment="1"/>
    <xf numFmtId="2" fontId="0" fillId="25" borderId="0" xfId="0" applyNumberFormat="1" applyFill="1" applyBorder="1" applyAlignment="1"/>
    <xf numFmtId="0" fontId="9" fillId="25" borderId="0" xfId="0" applyFont="1" applyFill="1" applyBorder="1" applyAlignment="1"/>
    <xf numFmtId="0" fontId="0" fillId="25" borderId="0" xfId="0" applyFill="1" applyBorder="1" applyAlignment="1"/>
    <xf numFmtId="0" fontId="9" fillId="25" borderId="13" xfId="0" applyFont="1" applyFill="1" applyBorder="1"/>
    <xf numFmtId="2" fontId="0" fillId="25" borderId="13" xfId="0" applyNumberFormat="1" applyFill="1" applyBorder="1"/>
    <xf numFmtId="0" fontId="0" fillId="25" borderId="13" xfId="0" applyFill="1" applyBorder="1"/>
    <xf numFmtId="0" fontId="9" fillId="25" borderId="0" xfId="0" applyFont="1" applyFill="1" applyBorder="1"/>
    <xf numFmtId="2" fontId="0" fillId="25" borderId="0" xfId="0" applyNumberFormat="1" applyFill="1" applyBorder="1"/>
    <xf numFmtId="0" fontId="0" fillId="25" borderId="40" xfId="0" applyFill="1" applyBorder="1"/>
    <xf numFmtId="0" fontId="9" fillId="7" borderId="42" xfId="0" applyFont="1" applyFill="1" applyBorder="1"/>
    <xf numFmtId="0" fontId="10" fillId="7" borderId="42" xfId="0" applyFont="1" applyFill="1" applyBorder="1"/>
    <xf numFmtId="0" fontId="0" fillId="25" borderId="39" xfId="0" applyFill="1" applyBorder="1"/>
    <xf numFmtId="0" fontId="0" fillId="0" borderId="40" xfId="0" applyBorder="1"/>
    <xf numFmtId="0" fontId="0" fillId="25" borderId="44" xfId="0" applyFill="1" applyBorder="1"/>
    <xf numFmtId="0" fontId="0" fillId="25" borderId="45" xfId="0" applyFill="1" applyBorder="1"/>
    <xf numFmtId="0" fontId="0" fillId="25" borderId="46" xfId="0" applyFill="1" applyBorder="1"/>
    <xf numFmtId="0" fontId="9" fillId="7" borderId="5" xfId="0" applyFont="1" applyFill="1" applyBorder="1"/>
    <xf numFmtId="0" fontId="0" fillId="25" borderId="9" xfId="0" applyFill="1" applyBorder="1"/>
    <xf numFmtId="0" fontId="0" fillId="25" borderId="8" xfId="0" applyFill="1" applyBorder="1"/>
    <xf numFmtId="164" fontId="0" fillId="25" borderId="0" xfId="0" applyNumberFormat="1" applyFill="1" applyBorder="1"/>
    <xf numFmtId="0" fontId="0" fillId="25" borderId="18" xfId="0" applyFill="1" applyBorder="1"/>
    <xf numFmtId="0" fontId="13" fillId="25" borderId="0" xfId="0" applyFont="1" applyFill="1" applyBorder="1"/>
    <xf numFmtId="1" fontId="0" fillId="16" borderId="1" xfId="0" applyNumberFormat="1" applyFill="1" applyBorder="1"/>
    <xf numFmtId="1" fontId="0" fillId="25" borderId="9" xfId="0" applyNumberFormat="1" applyFill="1" applyBorder="1"/>
    <xf numFmtId="0" fontId="0" fillId="25" borderId="48" xfId="0" applyFill="1" applyBorder="1"/>
    <xf numFmtId="1" fontId="0" fillId="25" borderId="19" xfId="0" applyNumberFormat="1" applyFill="1" applyBorder="1"/>
    <xf numFmtId="1" fontId="0" fillId="2" borderId="49" xfId="0" applyNumberFormat="1" applyFill="1" applyBorder="1"/>
    <xf numFmtId="0" fontId="0" fillId="9" borderId="2" xfId="0" applyFill="1" applyBorder="1"/>
    <xf numFmtId="2" fontId="0" fillId="18" borderId="2" xfId="0" applyNumberFormat="1" applyFill="1" applyBorder="1"/>
    <xf numFmtId="1" fontId="0" fillId="18" borderId="2" xfId="0" applyNumberFormat="1" applyFont="1" applyFill="1" applyBorder="1"/>
    <xf numFmtId="0" fontId="0" fillId="25" borderId="6" xfId="0" applyFill="1" applyBorder="1"/>
    <xf numFmtId="2" fontId="0" fillId="25" borderId="0" xfId="0" applyNumberFormat="1" applyFill="1" applyBorder="1" applyAlignment="1">
      <alignment horizontal="left"/>
    </xf>
    <xf numFmtId="2" fontId="0" fillId="25" borderId="19" xfId="0" applyNumberFormat="1" applyFill="1" applyBorder="1" applyAlignment="1">
      <alignment horizontal="center"/>
    </xf>
    <xf numFmtId="0" fontId="0" fillId="0" borderId="38" xfId="0" applyBorder="1"/>
    <xf numFmtId="0" fontId="9" fillId="15" borderId="39" xfId="0" applyFont="1" applyFill="1" applyBorder="1"/>
    <xf numFmtId="0" fontId="0" fillId="25" borderId="13" xfId="0" applyFill="1" applyBorder="1" applyAlignment="1">
      <alignment vertical="top" wrapText="1"/>
    </xf>
    <xf numFmtId="0" fontId="0" fillId="25" borderId="0" xfId="0" applyFill="1" applyBorder="1" applyAlignment="1">
      <alignment vertical="top" wrapText="1"/>
    </xf>
    <xf numFmtId="0" fontId="0" fillId="25" borderId="0" xfId="0" applyFill="1" applyBorder="1" applyAlignment="1">
      <alignment wrapText="1"/>
    </xf>
    <xf numFmtId="0" fontId="0" fillId="25" borderId="19" xfId="0" applyFill="1" applyBorder="1" applyAlignment="1">
      <alignment vertical="top" wrapText="1"/>
    </xf>
    <xf numFmtId="0" fontId="0" fillId="25" borderId="6" xfId="0" applyFill="1" applyBorder="1" applyAlignment="1">
      <alignment vertical="top" wrapText="1"/>
    </xf>
    <xf numFmtId="0" fontId="0" fillId="25" borderId="9" xfId="0" applyFill="1" applyBorder="1" applyAlignment="1">
      <alignment vertical="top" wrapText="1"/>
    </xf>
    <xf numFmtId="0" fontId="0" fillId="25" borderId="3" xfId="0" applyFill="1" applyBorder="1"/>
    <xf numFmtId="0" fontId="0" fillId="25" borderId="0" xfId="0" applyFont="1" applyFill="1" applyBorder="1" applyAlignment="1"/>
    <xf numFmtId="0" fontId="0" fillId="25" borderId="0" xfId="0" applyFont="1" applyFill="1" applyBorder="1"/>
    <xf numFmtId="0" fontId="0" fillId="25" borderId="0" xfId="0" applyFont="1" applyFill="1" applyBorder="1" applyAlignment="1">
      <alignment horizontal="center"/>
    </xf>
    <xf numFmtId="166" fontId="0" fillId="25" borderId="0" xfId="0" applyNumberFormat="1" applyFont="1" applyFill="1" applyBorder="1"/>
    <xf numFmtId="166" fontId="0" fillId="25" borderId="0" xfId="0" applyNumberFormat="1" applyFill="1" applyBorder="1"/>
    <xf numFmtId="10" fontId="0" fillId="25" borderId="0" xfId="0" applyNumberFormat="1" applyFill="1" applyBorder="1" applyAlignment="1">
      <alignment horizontal="right" vertical="center"/>
    </xf>
    <xf numFmtId="1" fontId="0" fillId="25" borderId="0" xfId="0" applyNumberFormat="1" applyFill="1" applyBorder="1"/>
    <xf numFmtId="0" fontId="0" fillId="25" borderId="0" xfId="0" applyFill="1" applyBorder="1" applyAlignment="1">
      <alignment horizontal="right" vertical="center"/>
    </xf>
    <xf numFmtId="165" fontId="0" fillId="25" borderId="0" xfId="0" applyNumberFormat="1" applyFill="1" applyBorder="1" applyAlignment="1">
      <alignment horizontal="right" vertical="center"/>
    </xf>
    <xf numFmtId="166" fontId="0" fillId="25" borderId="0" xfId="0" applyNumberFormat="1" applyFill="1" applyBorder="1" applyAlignment="1">
      <alignment horizontal="right" vertical="center"/>
    </xf>
    <xf numFmtId="0" fontId="0" fillId="25" borderId="6" xfId="0" applyFill="1" applyBorder="1" applyAlignment="1">
      <alignment horizontal="right" vertical="center"/>
    </xf>
    <xf numFmtId="0" fontId="0" fillId="25" borderId="19" xfId="0" applyFill="1" applyBorder="1" applyAlignment="1">
      <alignment horizontal="right" vertical="center"/>
    </xf>
    <xf numFmtId="2" fontId="0" fillId="25" borderId="0" xfId="0" applyNumberFormat="1" applyFill="1" applyBorder="1" applyAlignment="1">
      <alignment horizontal="right" vertical="center"/>
    </xf>
    <xf numFmtId="2" fontId="0" fillId="25" borderId="19" xfId="0" applyNumberFormat="1" applyFill="1" applyBorder="1" applyAlignment="1">
      <alignment horizontal="right" vertical="center"/>
    </xf>
    <xf numFmtId="166" fontId="0" fillId="25" borderId="6" xfId="0" applyNumberFormat="1" applyFill="1" applyBorder="1"/>
    <xf numFmtId="166" fontId="0" fillId="25" borderId="19" xfId="0" applyNumberFormat="1" applyFill="1" applyBorder="1"/>
    <xf numFmtId="0" fontId="0" fillId="25" borderId="0" xfId="0" applyFill="1" applyBorder="1" applyAlignment="1">
      <alignment horizontal="left"/>
    </xf>
    <xf numFmtId="166" fontId="0" fillId="25" borderId="0" xfId="0" applyNumberFormat="1" applyFill="1" applyBorder="1" applyAlignment="1">
      <alignment horizontal="left"/>
    </xf>
    <xf numFmtId="0" fontId="0" fillId="25" borderId="19" xfId="0" applyFill="1" applyBorder="1"/>
    <xf numFmtId="0" fontId="0" fillId="25" borderId="6" xfId="0" applyFill="1" applyBorder="1" applyAlignment="1">
      <alignment wrapText="1"/>
    </xf>
    <xf numFmtId="0" fontId="0" fillId="25" borderId="38" xfId="0" applyFill="1" applyBorder="1"/>
    <xf numFmtId="0" fontId="0" fillId="18" borderId="42" xfId="0" applyFill="1" applyBorder="1" applyAlignment="1">
      <alignment vertical="top" wrapText="1"/>
    </xf>
    <xf numFmtId="0" fontId="0" fillId="0" borderId="39" xfId="0" applyBorder="1"/>
    <xf numFmtId="0" fontId="0" fillId="18" borderId="42" xfId="0" applyFill="1" applyBorder="1" applyAlignment="1">
      <alignment wrapText="1"/>
    </xf>
    <xf numFmtId="0" fontId="0" fillId="25" borderId="39" xfId="0" applyFill="1" applyBorder="1" applyAlignment="1">
      <alignment wrapText="1"/>
    </xf>
    <xf numFmtId="0" fontId="0" fillId="25" borderId="44" xfId="0" applyFont="1" applyFill="1" applyBorder="1" applyAlignment="1">
      <alignment vertical="center" wrapText="1"/>
    </xf>
    <xf numFmtId="0" fontId="0" fillId="25" borderId="45" xfId="0" applyFont="1" applyFill="1" applyBorder="1" applyAlignment="1">
      <alignment vertical="center" wrapText="1"/>
    </xf>
    <xf numFmtId="0" fontId="0" fillId="25" borderId="45" xfId="0" applyFont="1" applyFill="1" applyBorder="1"/>
    <xf numFmtId="166" fontId="0" fillId="25" borderId="45" xfId="0" applyNumberFormat="1" applyFont="1" applyFill="1" applyBorder="1"/>
    <xf numFmtId="166" fontId="0" fillId="25" borderId="45" xfId="0" applyNumberFormat="1" applyFill="1" applyBorder="1"/>
    <xf numFmtId="165" fontId="0" fillId="2" borderId="1" xfId="0" applyNumberFormat="1" applyFill="1" applyBorder="1"/>
    <xf numFmtId="166" fontId="0" fillId="10" borderId="1" xfId="0" applyNumberFormat="1" applyFill="1" applyBorder="1" applyAlignment="1"/>
    <xf numFmtId="0" fontId="0" fillId="2" borderId="1" xfId="0" applyFont="1" applyFill="1" applyBorder="1"/>
    <xf numFmtId="165" fontId="0" fillId="25" borderId="9" xfId="0" applyNumberFormat="1" applyFill="1" applyBorder="1"/>
    <xf numFmtId="2" fontId="0" fillId="25" borderId="9" xfId="0" applyNumberFormat="1" applyFill="1" applyBorder="1" applyAlignment="1"/>
    <xf numFmtId="166" fontId="0" fillId="25" borderId="9" xfId="0" applyNumberFormat="1" applyFill="1" applyBorder="1" applyAlignment="1"/>
    <xf numFmtId="166" fontId="0" fillId="25" borderId="9" xfId="0" applyNumberFormat="1" applyFill="1" applyBorder="1"/>
    <xf numFmtId="0" fontId="0" fillId="12" borderId="3" xfId="0" applyFill="1" applyBorder="1"/>
    <xf numFmtId="0" fontId="0" fillId="10" borderId="5" xfId="0" applyFill="1" applyBorder="1"/>
    <xf numFmtId="0" fontId="0" fillId="12" borderId="18" xfId="0" applyFill="1" applyBorder="1"/>
    <xf numFmtId="0" fontId="0" fillId="25" borderId="13" xfId="0" applyFill="1" applyBorder="1" applyAlignment="1"/>
    <xf numFmtId="165" fontId="0" fillId="10" borderId="5" xfId="0" applyNumberFormat="1" applyFill="1" applyBorder="1"/>
    <xf numFmtId="0" fontId="0" fillId="12" borderId="18" xfId="0" applyFill="1" applyBorder="1" applyAlignment="1"/>
    <xf numFmtId="0" fontId="0" fillId="12" borderId="3" xfId="0" applyFill="1" applyBorder="1" applyAlignment="1"/>
    <xf numFmtId="165" fontId="0" fillId="11" borderId="5" xfId="0" applyNumberFormat="1" applyFill="1" applyBorder="1"/>
    <xf numFmtId="165" fontId="0" fillId="6" borderId="9" xfId="0" applyNumberFormat="1" applyFill="1" applyBorder="1"/>
    <xf numFmtId="2" fontId="0" fillId="6" borderId="5" xfId="0" applyNumberFormat="1" applyFill="1" applyBorder="1" applyAlignment="1"/>
    <xf numFmtId="0" fontId="0" fillId="5" borderId="2" xfId="0" applyFill="1" applyBorder="1"/>
    <xf numFmtId="0" fontId="0" fillId="12" borderId="18" xfId="0" applyFill="1" applyBorder="1" applyAlignment="1">
      <alignment vertical="top" wrapText="1"/>
    </xf>
    <xf numFmtId="0" fontId="0" fillId="12" borderId="3" xfId="0" applyFill="1" applyBorder="1" applyAlignment="1">
      <alignment vertical="top" wrapText="1"/>
    </xf>
    <xf numFmtId="0" fontId="0" fillId="16" borderId="2" xfId="0" applyFill="1" applyBorder="1"/>
    <xf numFmtId="0" fontId="0" fillId="2" borderId="3" xfId="0" applyFill="1" applyBorder="1"/>
    <xf numFmtId="0" fontId="0" fillId="2" borderId="5" xfId="0" applyFill="1" applyBorder="1"/>
    <xf numFmtId="0" fontId="0" fillId="12" borderId="50" xfId="0" applyFill="1" applyBorder="1" applyAlignment="1"/>
    <xf numFmtId="0" fontId="0" fillId="13" borderId="47" xfId="0" applyFill="1" applyBorder="1"/>
    <xf numFmtId="0" fontId="0" fillId="13" borderId="42" xfId="0" applyFill="1" applyBorder="1"/>
    <xf numFmtId="0" fontId="0" fillId="25" borderId="43" xfId="0" applyFill="1" applyBorder="1" applyAlignment="1"/>
    <xf numFmtId="0" fontId="0" fillId="12" borderId="50" xfId="0" applyFill="1" applyBorder="1"/>
    <xf numFmtId="0" fontId="0" fillId="10" borderId="47" xfId="0" applyFill="1" applyBorder="1"/>
    <xf numFmtId="0" fontId="0" fillId="11" borderId="47" xfId="0" applyFill="1" applyBorder="1"/>
    <xf numFmtId="0" fontId="0" fillId="5" borderId="50" xfId="0" applyFill="1" applyBorder="1"/>
    <xf numFmtId="0" fontId="0" fillId="5" borderId="52" xfId="0" applyFill="1" applyBorder="1"/>
    <xf numFmtId="0" fontId="0" fillId="12" borderId="50" xfId="0" applyFill="1" applyBorder="1" applyAlignment="1">
      <alignment vertical="top" wrapText="1"/>
    </xf>
    <xf numFmtId="0" fontId="0" fillId="12" borderId="47" xfId="0" applyFill="1" applyBorder="1" applyAlignment="1">
      <alignment vertical="top" wrapText="1"/>
    </xf>
    <xf numFmtId="0" fontId="0" fillId="12" borderId="42" xfId="0" applyFill="1" applyBorder="1" applyAlignment="1">
      <alignment vertical="top" wrapText="1"/>
    </xf>
    <xf numFmtId="0" fontId="0" fillId="16" borderId="42" xfId="0" applyFont="1" applyFill="1" applyBorder="1" applyAlignment="1">
      <alignment vertical="top"/>
    </xf>
    <xf numFmtId="0" fontId="0" fillId="16" borderId="42" xfId="0" applyFill="1" applyBorder="1"/>
    <xf numFmtId="2" fontId="0" fillId="18" borderId="11" xfId="0" applyNumberFormat="1" applyFill="1" applyBorder="1"/>
    <xf numFmtId="2" fontId="0" fillId="2" borderId="7" xfId="0" applyNumberFormat="1" applyFill="1" applyBorder="1"/>
    <xf numFmtId="0" fontId="9" fillId="7" borderId="9" xfId="0" applyFont="1" applyFill="1" applyBorder="1"/>
    <xf numFmtId="2" fontId="0" fillId="18" borderId="53" xfId="0" applyNumberFormat="1" applyFill="1" applyBorder="1"/>
    <xf numFmtId="0" fontId="9" fillId="25" borderId="6" xfId="0" applyFont="1" applyFill="1" applyBorder="1" applyAlignment="1"/>
    <xf numFmtId="1" fontId="0" fillId="18" borderId="7" xfId="0" applyNumberFormat="1" applyFill="1" applyBorder="1"/>
    <xf numFmtId="2" fontId="0" fillId="18" borderId="3" xfId="0" applyNumberFormat="1" applyFill="1" applyBorder="1"/>
    <xf numFmtId="0" fontId="0" fillId="2" borderId="6" xfId="0" applyFill="1" applyBorder="1"/>
    <xf numFmtId="2" fontId="0" fillId="2" borderId="6" xfId="0" applyNumberFormat="1" applyFill="1" applyBorder="1"/>
    <xf numFmtId="0" fontId="0" fillId="25" borderId="10" xfId="0" applyFill="1" applyBorder="1"/>
    <xf numFmtId="0" fontId="0" fillId="25" borderId="54" xfId="0" applyFill="1" applyBorder="1"/>
    <xf numFmtId="0" fontId="0" fillId="25" borderId="55" xfId="0" applyFill="1" applyBorder="1"/>
    <xf numFmtId="166" fontId="0" fillId="2" borderId="7" xfId="0" applyNumberFormat="1" applyFont="1" applyFill="1" applyBorder="1"/>
    <xf numFmtId="166" fontId="0" fillId="18" borderId="2" xfId="0" applyNumberFormat="1" applyFill="1" applyBorder="1"/>
    <xf numFmtId="2" fontId="0" fillId="2" borderId="4" xfId="0" applyNumberFormat="1" applyFill="1" applyBorder="1"/>
    <xf numFmtId="2" fontId="0" fillId="2" borderId="5" xfId="0" applyNumberFormat="1" applyFill="1" applyBorder="1"/>
    <xf numFmtId="0" fontId="0" fillId="2" borderId="9" xfId="0" applyFill="1" applyBorder="1"/>
    <xf numFmtId="2" fontId="0" fillId="2" borderId="9" xfId="0" applyNumberFormat="1" applyFill="1" applyBorder="1"/>
    <xf numFmtId="0" fontId="16" fillId="25" borderId="0" xfId="0" applyFont="1" applyFill="1" applyBorder="1"/>
    <xf numFmtId="2" fontId="16" fillId="25" borderId="0" xfId="0" applyNumberFormat="1" applyFont="1" applyFill="1" applyBorder="1"/>
    <xf numFmtId="0" fontId="0" fillId="25" borderId="56" xfId="0" applyFill="1" applyBorder="1"/>
    <xf numFmtId="2" fontId="0" fillId="2" borderId="3" xfId="0" applyNumberFormat="1" applyFill="1" applyBorder="1"/>
    <xf numFmtId="2" fontId="0" fillId="9" borderId="3" xfId="0" applyNumberFormat="1" applyFill="1" applyBorder="1"/>
    <xf numFmtId="0" fontId="0" fillId="2" borderId="18" xfId="0" applyFill="1" applyBorder="1"/>
    <xf numFmtId="0" fontId="0" fillId="9" borderId="18" xfId="0" applyFill="1" applyBorder="1"/>
    <xf numFmtId="2" fontId="0" fillId="18" borderId="10" xfId="0" applyNumberFormat="1" applyFill="1" applyBorder="1"/>
    <xf numFmtId="0" fontId="0" fillId="18" borderId="2" xfId="0" applyFill="1" applyBorder="1"/>
    <xf numFmtId="0" fontId="0" fillId="18" borderId="3" xfId="0" applyFill="1" applyBorder="1"/>
    <xf numFmtId="0" fontId="0" fillId="9" borderId="3" xfId="0" applyFill="1" applyBorder="1"/>
    <xf numFmtId="1" fontId="0" fillId="18" borderId="18" xfId="0" applyNumberFormat="1" applyFont="1" applyFill="1" applyBorder="1"/>
    <xf numFmtId="1" fontId="0" fillId="7" borderId="2" xfId="0" applyNumberFormat="1" applyFill="1" applyBorder="1"/>
    <xf numFmtId="1" fontId="0" fillId="7" borderId="3" xfId="0" applyNumberFormat="1" applyFill="1" applyBorder="1"/>
    <xf numFmtId="9" fontId="15" fillId="19" borderId="28" xfId="0" applyNumberFormat="1" applyFont="1" applyFill="1" applyBorder="1" applyAlignment="1">
      <alignment horizontal="center" vertical="center"/>
    </xf>
    <xf numFmtId="9" fontId="15" fillId="19" borderId="29" xfId="0" applyNumberFormat="1" applyFont="1" applyFill="1" applyBorder="1" applyAlignment="1">
      <alignment horizontal="center" vertical="center"/>
    </xf>
    <xf numFmtId="0" fontId="14" fillId="19" borderId="30" xfId="0" applyFont="1" applyFill="1" applyBorder="1" applyAlignment="1">
      <alignment vertical="center"/>
    </xf>
    <xf numFmtId="0" fontId="14" fillId="19" borderId="0" xfId="0" applyFont="1" applyFill="1" applyBorder="1" applyAlignment="1">
      <alignment horizontal="center" vertical="center"/>
    </xf>
    <xf numFmtId="0" fontId="14" fillId="19" borderId="32" xfId="0" applyFont="1" applyFill="1" applyBorder="1" applyAlignment="1">
      <alignment vertical="center"/>
    </xf>
    <xf numFmtId="0" fontId="14" fillId="19" borderId="33" xfId="0" applyFont="1" applyFill="1" applyBorder="1" applyAlignment="1">
      <alignment horizontal="center" vertical="center"/>
    </xf>
    <xf numFmtId="0" fontId="16" fillId="7" borderId="30" xfId="0" applyFont="1" applyFill="1" applyBorder="1" applyAlignment="1">
      <alignment vertical="center"/>
    </xf>
    <xf numFmtId="0" fontId="16" fillId="7" borderId="0" xfId="0" applyFont="1" applyFill="1" applyBorder="1" applyAlignment="1">
      <alignment horizontal="center" vertical="center"/>
    </xf>
    <xf numFmtId="2" fontId="16" fillId="7" borderId="1" xfId="0" applyNumberFormat="1" applyFont="1" applyFill="1" applyBorder="1" applyAlignment="1">
      <alignment vertical="center"/>
    </xf>
    <xf numFmtId="2" fontId="16" fillId="7" borderId="31" xfId="0" applyNumberFormat="1" applyFont="1" applyFill="1" applyBorder="1" applyAlignment="1">
      <alignment vertical="center"/>
    </xf>
    <xf numFmtId="0" fontId="0" fillId="25" borderId="37" xfId="0" applyFill="1" applyBorder="1"/>
    <xf numFmtId="0" fontId="9" fillId="20" borderId="50" xfId="0" applyFont="1" applyFill="1" applyBorder="1"/>
    <xf numFmtId="0" fontId="9" fillId="7" borderId="50" xfId="0" applyFont="1" applyFill="1" applyBorder="1"/>
    <xf numFmtId="0" fontId="9" fillId="7" borderId="43" xfId="0" applyFont="1" applyFill="1" applyBorder="1"/>
    <xf numFmtId="0" fontId="0" fillId="25" borderId="50" xfId="0" applyFill="1" applyBorder="1"/>
    <xf numFmtId="0" fontId="17" fillId="7" borderId="41" xfId="0" applyFont="1" applyFill="1" applyBorder="1"/>
    <xf numFmtId="0" fontId="4" fillId="25" borderId="40" xfId="1" applyFont="1" applyFill="1" applyBorder="1"/>
    <xf numFmtId="0" fontId="6" fillId="25" borderId="40" xfId="1" applyFont="1" applyFill="1" applyBorder="1"/>
    <xf numFmtId="0" fontId="3" fillId="25" borderId="40" xfId="1" applyFont="1" applyFill="1" applyBorder="1"/>
    <xf numFmtId="0" fontId="0" fillId="25" borderId="58" xfId="0" applyFill="1" applyBorder="1"/>
    <xf numFmtId="0" fontId="0" fillId="2" borderId="5" xfId="0" applyFill="1" applyBorder="1" applyAlignment="1">
      <alignment vertical="top"/>
    </xf>
    <xf numFmtId="0" fontId="18" fillId="15" borderId="13" xfId="0" applyFont="1" applyFill="1" applyBorder="1" applyAlignment="1">
      <alignment vertical="center"/>
    </xf>
    <xf numFmtId="0" fontId="18" fillId="15" borderId="12" xfId="0" applyFont="1" applyFill="1" applyBorder="1" applyAlignment="1">
      <alignment vertical="center"/>
    </xf>
    <xf numFmtId="0" fontId="18" fillId="15" borderId="0" xfId="0" applyFont="1" applyFill="1" applyBorder="1" applyAlignment="1">
      <alignment vertical="center"/>
    </xf>
    <xf numFmtId="0" fontId="18" fillId="15" borderId="19" xfId="0" applyFont="1" applyFill="1" applyBorder="1" applyAlignment="1">
      <alignment vertical="center"/>
    </xf>
    <xf numFmtId="0" fontId="0" fillId="25" borderId="37" xfId="0" applyFill="1" applyBorder="1" applyAlignment="1"/>
    <xf numFmtId="0" fontId="18" fillId="15" borderId="37" xfId="0" applyFont="1" applyFill="1" applyBorder="1" applyAlignment="1">
      <alignment vertical="center"/>
    </xf>
    <xf numFmtId="0" fontId="18" fillId="15" borderId="51" xfId="0" applyFont="1" applyFill="1" applyBorder="1" applyAlignment="1">
      <alignment vertical="center"/>
    </xf>
    <xf numFmtId="0" fontId="18" fillId="15" borderId="8" xfId="0" applyFont="1" applyFill="1" applyBorder="1" applyAlignment="1">
      <alignment vertical="center"/>
    </xf>
    <xf numFmtId="0" fontId="18" fillId="15" borderId="10" xfId="0" applyFont="1" applyFill="1" applyBorder="1" applyAlignment="1">
      <alignment vertical="center"/>
    </xf>
    <xf numFmtId="0" fontId="9" fillId="14" borderId="50" xfId="0" applyFont="1" applyFill="1" applyBorder="1"/>
    <xf numFmtId="0" fontId="9" fillId="14" borderId="41" xfId="0" applyFont="1" applyFill="1" applyBorder="1"/>
    <xf numFmtId="0" fontId="9" fillId="14" borderId="42" xfId="0" applyFont="1" applyFill="1" applyBorder="1"/>
    <xf numFmtId="0" fontId="9" fillId="14" borderId="43" xfId="0" applyFont="1" applyFill="1" applyBorder="1"/>
    <xf numFmtId="0" fontId="9" fillId="7" borderId="42" xfId="0" applyFont="1" applyFill="1" applyBorder="1" applyAlignment="1">
      <alignment wrapText="1"/>
    </xf>
    <xf numFmtId="0" fontId="9" fillId="7" borderId="42" xfId="0" applyFont="1" applyFill="1" applyBorder="1" applyAlignment="1">
      <alignment vertical="top" wrapText="1"/>
    </xf>
    <xf numFmtId="0" fontId="13" fillId="3" borderId="14" xfId="0" applyFont="1" applyFill="1" applyBorder="1" applyProtection="1">
      <protection locked="0"/>
    </xf>
    <xf numFmtId="0" fontId="0" fillId="17" borderId="1" xfId="0" applyFill="1" applyBorder="1" applyProtection="1">
      <protection locked="0"/>
    </xf>
    <xf numFmtId="2" fontId="13" fillId="3" borderId="14" xfId="0" applyNumberFormat="1" applyFont="1" applyFill="1" applyBorder="1" applyProtection="1">
      <protection locked="0"/>
    </xf>
    <xf numFmtId="164" fontId="13" fillId="3" borderId="14" xfId="0" applyNumberFormat="1" applyFont="1" applyFill="1" applyBorder="1" applyProtection="1">
      <protection locked="0"/>
    </xf>
    <xf numFmtId="0" fontId="0" fillId="25" borderId="48" xfId="0" applyFill="1" applyBorder="1" applyProtection="1">
      <protection locked="0"/>
    </xf>
    <xf numFmtId="0" fontId="0" fillId="25" borderId="0" xfId="0" applyFill="1" applyBorder="1" applyProtection="1">
      <protection locked="0"/>
    </xf>
    <xf numFmtId="0" fontId="20" fillId="0" borderId="0" xfId="0" applyFont="1" applyBorder="1" applyAlignment="1">
      <alignment horizontal="center" vertical="center"/>
    </xf>
    <xf numFmtId="0" fontId="13" fillId="0" borderId="0" xfId="0" applyFont="1" applyBorder="1" applyAlignment="1">
      <alignment horizontal="left" vertical="top" wrapText="1"/>
    </xf>
    <xf numFmtId="0" fontId="13" fillId="3" borderId="15" xfId="0" applyFont="1" applyFill="1" applyBorder="1" applyAlignment="1" applyProtection="1">
      <alignment horizontal="center"/>
      <protection locked="0"/>
    </xf>
    <xf numFmtId="0" fontId="13" fillId="3" borderId="16" xfId="0" applyFont="1" applyFill="1" applyBorder="1" applyAlignment="1" applyProtection="1">
      <alignment horizontal="center"/>
      <protection locked="0"/>
    </xf>
    <xf numFmtId="0" fontId="13" fillId="3" borderId="17" xfId="0" applyFont="1" applyFill="1" applyBorder="1" applyAlignment="1" applyProtection="1">
      <alignment horizontal="center"/>
      <protection locked="0"/>
    </xf>
    <xf numFmtId="9" fontId="13" fillId="3" borderId="15" xfId="0" applyNumberFormat="1" applyFont="1" applyFill="1" applyBorder="1" applyAlignment="1" applyProtection="1">
      <alignment horizontal="center"/>
      <protection locked="0"/>
    </xf>
    <xf numFmtId="9" fontId="13" fillId="3" borderId="16" xfId="0" applyNumberFormat="1" applyFont="1" applyFill="1" applyBorder="1" applyAlignment="1" applyProtection="1">
      <alignment horizontal="center"/>
      <protection locked="0"/>
    </xf>
    <xf numFmtId="9" fontId="13" fillId="3" borderId="17" xfId="0" applyNumberFormat="1" applyFont="1" applyFill="1" applyBorder="1" applyAlignment="1" applyProtection="1">
      <alignment horizontal="center"/>
      <protection locked="0"/>
    </xf>
    <xf numFmtId="0" fontId="18" fillId="15" borderId="11" xfId="0" applyFont="1" applyFill="1" applyBorder="1" applyAlignment="1">
      <alignment horizontal="center" vertical="center"/>
    </xf>
    <xf numFmtId="0" fontId="18" fillId="15" borderId="13" xfId="0" applyFont="1" applyFill="1" applyBorder="1" applyAlignment="1">
      <alignment horizontal="center" vertical="center"/>
    </xf>
    <xf numFmtId="0" fontId="18" fillId="15" borderId="6" xfId="0" applyFont="1" applyFill="1" applyBorder="1" applyAlignment="1">
      <alignment horizontal="center" vertical="center"/>
    </xf>
    <xf numFmtId="0" fontId="18" fillId="15" borderId="0" xfId="0" applyFont="1" applyFill="1" applyBorder="1" applyAlignment="1">
      <alignment horizontal="center" vertical="center"/>
    </xf>
    <xf numFmtId="0" fontId="9" fillId="14" borderId="43" xfId="0" applyFont="1" applyFill="1" applyBorder="1" applyAlignment="1">
      <alignment horizontal="left"/>
    </xf>
    <xf numFmtId="0" fontId="9" fillId="14" borderId="13" xfId="0" applyFont="1" applyFill="1" applyBorder="1" applyAlignment="1">
      <alignment horizontal="left"/>
    </xf>
    <xf numFmtId="0" fontId="9" fillId="14" borderId="12" xfId="0" applyFont="1" applyFill="1" applyBorder="1" applyAlignment="1">
      <alignment horizontal="left"/>
    </xf>
    <xf numFmtId="0" fontId="9" fillId="14" borderId="42" xfId="0" applyFont="1" applyFill="1" applyBorder="1" applyAlignment="1">
      <alignment horizontal="left"/>
    </xf>
    <xf numFmtId="0" fontId="9" fillId="14" borderId="4" xfId="0" applyFont="1" applyFill="1" applyBorder="1" applyAlignment="1">
      <alignment horizontal="left"/>
    </xf>
    <xf numFmtId="0" fontId="9" fillId="14" borderId="1" xfId="0" applyFont="1" applyFill="1" applyBorder="1" applyAlignment="1">
      <alignment horizontal="left"/>
    </xf>
    <xf numFmtId="2" fontId="13" fillId="3" borderId="20" xfId="0" applyNumberFormat="1" applyFont="1" applyFill="1" applyBorder="1" applyAlignment="1" applyProtection="1">
      <alignment horizontal="center"/>
      <protection locked="0"/>
    </xf>
    <xf numFmtId="2" fontId="13" fillId="3" borderId="21" xfId="0" applyNumberFormat="1" applyFont="1" applyFill="1" applyBorder="1" applyAlignment="1" applyProtection="1">
      <alignment horizontal="center"/>
      <protection locked="0"/>
    </xf>
    <xf numFmtId="2" fontId="13" fillId="3" borderId="22" xfId="0" applyNumberFormat="1" applyFont="1" applyFill="1" applyBorder="1" applyAlignment="1" applyProtection="1">
      <alignment horizontal="center"/>
      <protection locked="0"/>
    </xf>
    <xf numFmtId="2" fontId="0" fillId="2" borderId="23" xfId="0" applyNumberFormat="1" applyFill="1" applyBorder="1" applyAlignment="1">
      <alignment horizontal="center"/>
    </xf>
    <xf numFmtId="2" fontId="0" fillId="2" borderId="24" xfId="0" applyNumberFormat="1" applyFill="1" applyBorder="1" applyAlignment="1">
      <alignment horizontal="center"/>
    </xf>
    <xf numFmtId="2" fontId="0" fillId="2" borderId="25" xfId="0" applyNumberFormat="1" applyFill="1" applyBorder="1" applyAlignment="1">
      <alignment horizontal="center"/>
    </xf>
    <xf numFmtId="2" fontId="0" fillId="2" borderId="2" xfId="0" applyNumberFormat="1" applyFill="1" applyBorder="1" applyAlignment="1">
      <alignment horizontal="center"/>
    </xf>
    <xf numFmtId="2" fontId="0" fillId="2" borderId="18" xfId="0" applyNumberFormat="1" applyFill="1" applyBorder="1" applyAlignment="1">
      <alignment horizontal="center"/>
    </xf>
    <xf numFmtId="2" fontId="0" fillId="2" borderId="3" xfId="0" applyNumberFormat="1" applyFill="1" applyBorder="1" applyAlignment="1">
      <alignment horizontal="center"/>
    </xf>
    <xf numFmtId="0" fontId="18" fillId="15" borderId="36" xfId="0" applyFont="1" applyFill="1" applyBorder="1" applyAlignment="1">
      <alignment horizontal="left" vertical="center"/>
    </xf>
    <xf numFmtId="0" fontId="18" fillId="15" borderId="37" xfId="0" applyFont="1" applyFill="1" applyBorder="1" applyAlignment="1">
      <alignment horizontal="left" vertical="center"/>
    </xf>
    <xf numFmtId="0" fontId="18" fillId="15" borderId="41" xfId="0" applyFont="1" applyFill="1" applyBorder="1" applyAlignment="1">
      <alignment horizontal="left" vertical="center"/>
    </xf>
    <xf numFmtId="0" fontId="18" fillId="15" borderId="8" xfId="0" applyFont="1" applyFill="1" applyBorder="1" applyAlignment="1">
      <alignment horizontal="left" vertical="center"/>
    </xf>
    <xf numFmtId="0" fontId="0" fillId="16" borderId="50" xfId="0" applyFill="1" applyBorder="1" applyAlignment="1">
      <alignment horizontal="left"/>
    </xf>
    <xf numFmtId="0" fontId="0" fillId="16" borderId="3" xfId="0" applyFill="1" applyBorder="1" applyAlignment="1">
      <alignment horizontal="left"/>
    </xf>
    <xf numFmtId="0" fontId="0" fillId="17" borderId="1" xfId="0" applyFill="1" applyBorder="1" applyAlignment="1">
      <alignment horizontal="center" vertical="center"/>
    </xf>
    <xf numFmtId="0" fontId="0" fillId="16" borderId="50" xfId="0" applyFill="1" applyBorder="1" applyAlignment="1"/>
    <xf numFmtId="0" fontId="0" fillId="16" borderId="18" xfId="0" applyFill="1" applyBorder="1" applyAlignment="1"/>
    <xf numFmtId="0" fontId="0" fillId="16" borderId="3" xfId="0" applyFill="1" applyBorder="1" applyAlignment="1"/>
    <xf numFmtId="0" fontId="9" fillId="7" borderId="1" xfId="0" applyFont="1" applyFill="1" applyBorder="1" applyAlignment="1">
      <alignment horizontal="center"/>
    </xf>
    <xf numFmtId="0" fontId="0" fillId="17" borderId="1" xfId="0" applyFill="1" applyBorder="1" applyAlignment="1">
      <alignment horizontal="center"/>
    </xf>
    <xf numFmtId="0" fontId="18" fillId="15" borderId="51" xfId="0" applyFont="1" applyFill="1" applyBorder="1" applyAlignment="1">
      <alignment horizontal="left" vertical="center"/>
    </xf>
    <xf numFmtId="0" fontId="18" fillId="15" borderId="10" xfId="0" applyFont="1" applyFill="1" applyBorder="1" applyAlignment="1">
      <alignment horizontal="left" vertical="center"/>
    </xf>
    <xf numFmtId="0" fontId="0" fillId="21" borderId="5" xfId="0" applyFill="1" applyBorder="1" applyAlignment="1">
      <alignment horizontal="center"/>
    </xf>
    <xf numFmtId="0" fontId="0" fillId="21" borderId="47" xfId="0" applyFill="1" applyBorder="1" applyAlignment="1">
      <alignment horizontal="center" vertical="top"/>
    </xf>
    <xf numFmtId="0" fontId="0" fillId="21" borderId="5" xfId="0" applyFont="1" applyFill="1" applyBorder="1" applyAlignment="1">
      <alignment horizontal="center" vertical="top"/>
    </xf>
    <xf numFmtId="0" fontId="0" fillId="25" borderId="43" xfId="0" applyFill="1" applyBorder="1" applyAlignment="1">
      <alignment horizontal="center"/>
    </xf>
    <xf numFmtId="0" fontId="0" fillId="25" borderId="13" xfId="0" applyFill="1" applyBorder="1" applyAlignment="1">
      <alignment horizontal="center"/>
    </xf>
    <xf numFmtId="1" fontId="0" fillId="25" borderId="13" xfId="0" applyNumberFormat="1" applyFill="1" applyBorder="1"/>
    <xf numFmtId="0" fontId="9" fillId="7" borderId="4" xfId="0" applyFont="1" applyFill="1" applyBorder="1" applyAlignment="1">
      <alignment horizontal="center"/>
    </xf>
    <xf numFmtId="0" fontId="9" fillId="7" borderId="2" xfId="0" applyFont="1" applyFill="1" applyBorder="1"/>
    <xf numFmtId="0" fontId="9" fillId="7" borderId="18" xfId="0" applyFont="1" applyFill="1" applyBorder="1"/>
    <xf numFmtId="0" fontId="9" fillId="7" borderId="3" xfId="0" applyFont="1" applyFill="1" applyBorder="1"/>
    <xf numFmtId="0" fontId="0" fillId="12" borderId="11" xfId="0" applyFill="1" applyBorder="1" applyAlignment="1">
      <alignment horizontal="right" vertical="center"/>
    </xf>
    <xf numFmtId="0" fontId="0" fillId="12" borderId="7" xfId="0" applyFill="1" applyBorder="1" applyAlignment="1">
      <alignment horizontal="right" vertical="center"/>
    </xf>
    <xf numFmtId="0" fontId="0" fillId="12" borderId="13" xfId="0" applyFill="1" applyBorder="1" applyAlignment="1">
      <alignment horizontal="left" vertical="center"/>
    </xf>
    <xf numFmtId="0" fontId="0" fillId="12" borderId="10" xfId="0" applyFill="1" applyBorder="1" applyAlignment="1">
      <alignment horizontal="left" vertical="center"/>
    </xf>
    <xf numFmtId="2" fontId="0" fillId="25" borderId="37" xfId="0" applyNumberFormat="1" applyFill="1" applyBorder="1" applyAlignment="1">
      <alignment horizontal="center"/>
    </xf>
    <xf numFmtId="2" fontId="0" fillId="18" borderId="1" xfId="0" applyNumberFormat="1" applyFill="1" applyBorder="1"/>
    <xf numFmtId="0" fontId="9" fillId="7" borderId="42" xfId="0" applyFont="1" applyFill="1" applyBorder="1"/>
    <xf numFmtId="0" fontId="9" fillId="7" borderId="1" xfId="0" applyFont="1" applyFill="1" applyBorder="1"/>
    <xf numFmtId="1" fontId="0" fillId="2" borderId="1" xfId="0" applyNumberFormat="1" applyFill="1" applyBorder="1"/>
    <xf numFmtId="0" fontId="2" fillId="25" borderId="43" xfId="0" applyFont="1" applyFill="1" applyBorder="1" applyAlignment="1">
      <alignment vertical="top"/>
    </xf>
    <xf numFmtId="0" fontId="2" fillId="25" borderId="13" xfId="0" applyFont="1" applyFill="1" applyBorder="1" applyAlignment="1">
      <alignment vertical="top"/>
    </xf>
    <xf numFmtId="2" fontId="0" fillId="18" borderId="1" xfId="0" applyNumberFormat="1" applyFill="1" applyBorder="1" applyAlignment="1">
      <alignment horizontal="center"/>
    </xf>
    <xf numFmtId="1" fontId="0" fillId="17" borderId="1" xfId="0" applyNumberFormat="1" applyFill="1" applyBorder="1" applyAlignment="1">
      <alignment horizontal="center"/>
    </xf>
    <xf numFmtId="0" fontId="2" fillId="25" borderId="0" xfId="0" applyFont="1" applyFill="1" applyBorder="1" applyAlignment="1">
      <alignment vertical="top"/>
    </xf>
    <xf numFmtId="0" fontId="9" fillId="7" borderId="1" xfId="0" applyFont="1" applyFill="1" applyBorder="1" applyAlignment="1">
      <alignment horizontal="left" wrapText="1"/>
    </xf>
    <xf numFmtId="0" fontId="9" fillId="7" borderId="42" xfId="0" applyFont="1" applyFill="1" applyBorder="1" applyAlignment="1">
      <alignment horizontal="left" wrapText="1"/>
    </xf>
    <xf numFmtId="0" fontId="9" fillId="7" borderId="47" xfId="0" applyFont="1" applyFill="1" applyBorder="1"/>
    <xf numFmtId="0" fontId="9" fillId="7" borderId="5" xfId="0" applyFont="1" applyFill="1" applyBorder="1"/>
    <xf numFmtId="0" fontId="18" fillId="15" borderId="38" xfId="0" applyFont="1" applyFill="1" applyBorder="1" applyAlignment="1">
      <alignment horizontal="left" vertical="center"/>
    </xf>
    <xf numFmtId="0" fontId="18" fillId="15" borderId="39" xfId="0" applyFont="1" applyFill="1" applyBorder="1" applyAlignment="1">
      <alignment horizontal="left" vertical="center"/>
    </xf>
    <xf numFmtId="0" fontId="18" fillId="15" borderId="0" xfId="0" applyFont="1" applyFill="1" applyBorder="1" applyAlignment="1">
      <alignment horizontal="left" vertical="center"/>
    </xf>
    <xf numFmtId="0" fontId="18" fillId="15" borderId="40" xfId="0" applyFont="1" applyFill="1" applyBorder="1" applyAlignment="1">
      <alignment horizontal="left" vertical="center"/>
    </xf>
    <xf numFmtId="0" fontId="0" fillId="21" borderId="1" xfId="0" applyFill="1" applyBorder="1" applyAlignment="1">
      <alignment horizontal="center"/>
    </xf>
    <xf numFmtId="0" fontId="9" fillId="7" borderId="2" xfId="0" applyFont="1" applyFill="1" applyBorder="1" applyAlignment="1">
      <alignment horizontal="center"/>
    </xf>
    <xf numFmtId="0" fontId="9" fillId="7" borderId="18" xfId="0" applyFont="1" applyFill="1" applyBorder="1" applyAlignment="1">
      <alignment horizontal="center"/>
    </xf>
    <xf numFmtId="0" fontId="9" fillId="7" borderId="3" xfId="0" applyFont="1" applyFill="1" applyBorder="1" applyAlignment="1">
      <alignment horizontal="center"/>
    </xf>
    <xf numFmtId="0" fontId="0" fillId="22" borderId="1" xfId="0" applyFill="1" applyBorder="1" applyAlignment="1">
      <alignment horizontal="center"/>
    </xf>
    <xf numFmtId="0" fontId="0" fillId="22" borderId="4" xfId="0" applyFill="1" applyBorder="1" applyAlignment="1">
      <alignment horizontal="center"/>
    </xf>
    <xf numFmtId="0" fontId="0" fillId="22" borderId="1" xfId="0" applyFill="1" applyBorder="1"/>
    <xf numFmtId="0" fontId="0" fillId="25" borderId="13" xfId="0" applyFill="1" applyBorder="1"/>
    <xf numFmtId="0" fontId="18" fillId="15" borderId="36" xfId="0" applyFont="1" applyFill="1" applyBorder="1" applyAlignment="1">
      <alignment horizontal="center" vertical="center"/>
    </xf>
    <xf numFmtId="0" fontId="18" fillId="15" borderId="41" xfId="0" applyFont="1" applyFill="1" applyBorder="1" applyAlignment="1">
      <alignment horizontal="center" vertical="center"/>
    </xf>
    <xf numFmtId="0" fontId="15" fillId="19" borderId="26" xfId="0" applyFont="1" applyFill="1" applyBorder="1" applyAlignment="1">
      <alignment horizontal="left" vertical="center"/>
    </xf>
    <xf numFmtId="0" fontId="15" fillId="19" borderId="27" xfId="0" applyFont="1" applyFill="1" applyBorder="1" applyAlignment="1">
      <alignment horizontal="left" vertical="center"/>
    </xf>
    <xf numFmtId="0" fontId="0" fillId="22" borderId="50" xfId="0" applyFill="1" applyBorder="1" applyAlignment="1">
      <alignment horizontal="center"/>
    </xf>
    <xf numFmtId="0" fontId="0" fillId="22" borderId="18" xfId="0" applyFill="1" applyBorder="1" applyAlignment="1">
      <alignment horizontal="center"/>
    </xf>
    <xf numFmtId="0" fontId="0" fillId="22" borderId="3" xfId="0" applyFill="1" applyBorder="1" applyAlignment="1">
      <alignment horizontal="center"/>
    </xf>
    <xf numFmtId="0" fontId="0" fillId="25" borderId="50" xfId="0" applyFill="1" applyBorder="1" applyAlignment="1">
      <alignment horizontal="center"/>
    </xf>
    <xf numFmtId="0" fontId="0" fillId="25" borderId="8" xfId="0" applyFill="1" applyBorder="1" applyAlignment="1">
      <alignment horizontal="center"/>
    </xf>
    <xf numFmtId="0" fontId="0" fillId="25" borderId="3" xfId="0" applyFill="1" applyBorder="1" applyAlignment="1">
      <alignment horizontal="center"/>
    </xf>
    <xf numFmtId="0" fontId="17" fillId="7" borderId="50" xfId="0" applyFont="1" applyFill="1" applyBorder="1"/>
    <xf numFmtId="0" fontId="17" fillId="7" borderId="13" xfId="0" applyFont="1" applyFill="1" applyBorder="1"/>
    <xf numFmtId="0" fontId="17" fillId="7" borderId="3" xfId="0" applyFont="1" applyFill="1" applyBorder="1"/>
    <xf numFmtId="0" fontId="17" fillId="7" borderId="12" xfId="0" applyFont="1" applyFill="1" applyBorder="1"/>
    <xf numFmtId="0" fontId="9" fillId="7" borderId="57" xfId="0" applyFont="1" applyFill="1" applyBorder="1" applyAlignment="1">
      <alignment vertical="top"/>
    </xf>
    <xf numFmtId="0" fontId="9" fillId="7" borderId="52" xfId="0" applyFont="1" applyFill="1" applyBorder="1" applyAlignment="1">
      <alignment vertical="top"/>
    </xf>
    <xf numFmtId="0" fontId="9" fillId="7" borderId="47" xfId="0" applyFont="1" applyFill="1" applyBorder="1" applyAlignment="1">
      <alignment vertical="top"/>
    </xf>
    <xf numFmtId="0" fontId="8" fillId="23" borderId="1" xfId="1" applyFont="1" applyFill="1" applyBorder="1" applyAlignment="1">
      <alignment horizontal="center" vertical="top"/>
    </xf>
    <xf numFmtId="2" fontId="8" fillId="22" borderId="1" xfId="1" applyNumberFormat="1" applyFont="1" applyFill="1" applyBorder="1" applyAlignment="1">
      <alignment horizontal="center" vertical="top"/>
    </xf>
    <xf numFmtId="0" fontId="7" fillId="22" borderId="2" xfId="0" applyFont="1" applyFill="1" applyBorder="1" applyAlignment="1">
      <alignment horizontal="center" vertical="top"/>
    </xf>
    <xf numFmtId="0" fontId="7" fillId="22" borderId="3" xfId="0" applyFont="1" applyFill="1" applyBorder="1" applyAlignment="1">
      <alignment horizontal="center" vertical="top"/>
    </xf>
    <xf numFmtId="0" fontId="9" fillId="24" borderId="43" xfId="1" applyFont="1" applyFill="1" applyBorder="1" applyAlignment="1">
      <alignment horizontal="center" vertical="center"/>
    </xf>
    <xf numFmtId="0" fontId="9" fillId="24" borderId="12" xfId="1" applyFont="1" applyFill="1" applyBorder="1" applyAlignment="1">
      <alignment horizontal="center" vertical="center"/>
    </xf>
    <xf numFmtId="0" fontId="9" fillId="24" borderId="41" xfId="1" applyFont="1" applyFill="1" applyBorder="1" applyAlignment="1">
      <alignment horizontal="center" vertical="center"/>
    </xf>
    <xf numFmtId="0" fontId="9" fillId="24" borderId="10" xfId="1" applyFont="1" applyFill="1" applyBorder="1" applyAlignment="1">
      <alignment horizontal="center" vertical="center"/>
    </xf>
    <xf numFmtId="0" fontId="8" fillId="23" borderId="4" xfId="1" applyFont="1" applyFill="1" applyBorder="1" applyAlignment="1">
      <alignment horizontal="center" vertical="top"/>
    </xf>
    <xf numFmtId="0" fontId="8" fillId="23" borderId="5" xfId="1" applyFont="1" applyFill="1" applyBorder="1" applyAlignment="1">
      <alignment horizontal="center" vertical="top"/>
    </xf>
    <xf numFmtId="0" fontId="0" fillId="22" borderId="4" xfId="1" applyFont="1" applyFill="1" applyBorder="1" applyAlignment="1">
      <alignment horizontal="center" vertical="top" wrapText="1"/>
    </xf>
    <xf numFmtId="0" fontId="7" fillId="22" borderId="5" xfId="1" applyFont="1" applyFill="1" applyBorder="1" applyAlignment="1">
      <alignment horizontal="center" vertical="top" wrapText="1"/>
    </xf>
    <xf numFmtId="0" fontId="9" fillId="7" borderId="57" xfId="1" applyFont="1" applyFill="1" applyBorder="1" applyAlignment="1">
      <alignment vertical="top"/>
    </xf>
    <xf numFmtId="0" fontId="9" fillId="7" borderId="52" xfId="1" applyFont="1" applyFill="1" applyBorder="1" applyAlignment="1">
      <alignment vertical="top"/>
    </xf>
    <xf numFmtId="0" fontId="9" fillId="7" borderId="47" xfId="1" applyFont="1" applyFill="1" applyBorder="1" applyAlignment="1">
      <alignment vertical="top"/>
    </xf>
    <xf numFmtId="0" fontId="18" fillId="15" borderId="11" xfId="0" applyFont="1" applyFill="1" applyBorder="1" applyAlignment="1">
      <alignment horizontal="left" vertical="center"/>
    </xf>
    <xf numFmtId="0" fontId="18" fillId="15" borderId="13" xfId="0" applyFont="1" applyFill="1" applyBorder="1" applyAlignment="1">
      <alignment horizontal="left" vertical="center"/>
    </xf>
    <xf numFmtId="0" fontId="18" fillId="15" borderId="12" xfId="0" applyFont="1" applyFill="1" applyBorder="1" applyAlignment="1">
      <alignment horizontal="left" vertical="center"/>
    </xf>
    <xf numFmtId="0" fontId="18" fillId="15" borderId="7" xfId="0" applyFont="1" applyFill="1" applyBorder="1" applyAlignment="1">
      <alignment horizontal="left" vertical="center"/>
    </xf>
  </cellXfs>
  <cellStyles count="2">
    <cellStyle name="Standard" xfId="0" builtinId="0"/>
    <cellStyle name="Standard 2" xfId="1"/>
  </cellStyles>
  <dxfs count="3">
    <dxf>
      <fill>
        <patternFill>
          <bgColor theme="0" tint="-0.24994659260841701"/>
        </patternFill>
      </fill>
    </dxf>
    <dxf>
      <fill>
        <patternFill>
          <bgColor theme="0" tint="-0.24994659260841701"/>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9" defaultPivotStyle="PivotStyleLight16">
    <tableStyle name="Tabellenformat 1" pivot="0" count="3">
      <tableStyleElement type="wholeTable" dxfId="2"/>
      <tableStyleElement type="headerRow" dxfId="1"/>
      <tableStyleElement type="firstColumn" dxfId="0"/>
    </tableStyle>
  </tableStyles>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36393941501479"/>
          <c:y val="4.9910761154855827E-2"/>
          <c:w val="0.64195577650725966"/>
          <c:h val="0.80422192053579633"/>
        </c:manualLayout>
      </c:layout>
      <c:lineChart>
        <c:grouping val="standard"/>
        <c:varyColors val="0"/>
        <c:ser>
          <c:idx val="1"/>
          <c:order val="0"/>
          <c:tx>
            <c:v>Trocknugskosten</c:v>
          </c:tx>
          <c:marker>
            <c:symbol val="none"/>
          </c:marker>
          <c:cat>
            <c:numRef>
              <c:f>Kostenrechnung!$P$8:$P$23</c:f>
              <c:numCache>
                <c:formatCode>General</c:formatCode>
                <c:ptCount val="16"/>
                <c:pt idx="0">
                  <c:v>0</c:v>
                </c:pt>
                <c:pt idx="1">
                  <c:v>200</c:v>
                </c:pt>
                <c:pt idx="2">
                  <c:v>400</c:v>
                </c:pt>
                <c:pt idx="3">
                  <c:v>600</c:v>
                </c:pt>
                <c:pt idx="4">
                  <c:v>800</c:v>
                </c:pt>
                <c:pt idx="5">
                  <c:v>1000</c:v>
                </c:pt>
                <c:pt idx="6">
                  <c:v>1200</c:v>
                </c:pt>
                <c:pt idx="7">
                  <c:v>1400</c:v>
                </c:pt>
                <c:pt idx="8">
                  <c:v>1600</c:v>
                </c:pt>
                <c:pt idx="9">
                  <c:v>1800</c:v>
                </c:pt>
                <c:pt idx="10">
                  <c:v>2000</c:v>
                </c:pt>
                <c:pt idx="11">
                  <c:v>2200</c:v>
                </c:pt>
                <c:pt idx="12">
                  <c:v>2400</c:v>
                </c:pt>
                <c:pt idx="13">
                  <c:v>2600</c:v>
                </c:pt>
                <c:pt idx="14">
                  <c:v>2800</c:v>
                </c:pt>
                <c:pt idx="15">
                  <c:v>3000</c:v>
                </c:pt>
              </c:numCache>
            </c:numRef>
          </c:cat>
          <c:val>
            <c:numRef>
              <c:f>Kostenrechnung!$Q$8:$Q$23</c:f>
              <c:numCache>
                <c:formatCode>General</c:formatCode>
                <c:ptCount val="16"/>
                <c:pt idx="0">
                  <c:v>81460.317460317456</c:v>
                </c:pt>
                <c:pt idx="1">
                  <c:v>114380.73201146141</c:v>
                </c:pt>
                <c:pt idx="2">
                  <c:v>147301.14656260537</c:v>
                </c:pt>
                <c:pt idx="3">
                  <c:v>180221.56111374934</c:v>
                </c:pt>
                <c:pt idx="4">
                  <c:v>213141.97566489328</c:v>
                </c:pt>
                <c:pt idx="5">
                  <c:v>246062.39021603722</c:v>
                </c:pt>
                <c:pt idx="6">
                  <c:v>278982.80476718117</c:v>
                </c:pt>
                <c:pt idx="7">
                  <c:v>311903.21931832517</c:v>
                </c:pt>
                <c:pt idx="8">
                  <c:v>344823.63386946911</c:v>
                </c:pt>
                <c:pt idx="9">
                  <c:v>377744.04842061305</c:v>
                </c:pt>
                <c:pt idx="10">
                  <c:v>410664.46297175699</c:v>
                </c:pt>
                <c:pt idx="11">
                  <c:v>443584.87752290093</c:v>
                </c:pt>
                <c:pt idx="12">
                  <c:v>476505.29207404493</c:v>
                </c:pt>
                <c:pt idx="13">
                  <c:v>509425.70662518888</c:v>
                </c:pt>
                <c:pt idx="14">
                  <c:v>542346.12117633282</c:v>
                </c:pt>
                <c:pt idx="15">
                  <c:v>575266.5357274767</c:v>
                </c:pt>
              </c:numCache>
            </c:numRef>
          </c:val>
          <c:smooth val="0"/>
        </c:ser>
        <c:ser>
          <c:idx val="2"/>
          <c:order val="1"/>
          <c:tx>
            <c:v>Verkaufserlös</c:v>
          </c:tx>
          <c:marker>
            <c:symbol val="none"/>
          </c:marker>
          <c:cat>
            <c:numRef>
              <c:f>Kostenrechnung!$P$8:$P$23</c:f>
              <c:numCache>
                <c:formatCode>General</c:formatCode>
                <c:ptCount val="16"/>
                <c:pt idx="0">
                  <c:v>0</c:v>
                </c:pt>
                <c:pt idx="1">
                  <c:v>200</c:v>
                </c:pt>
                <c:pt idx="2">
                  <c:v>400</c:v>
                </c:pt>
                <c:pt idx="3">
                  <c:v>600</c:v>
                </c:pt>
                <c:pt idx="4">
                  <c:v>800</c:v>
                </c:pt>
                <c:pt idx="5">
                  <c:v>1000</c:v>
                </c:pt>
                <c:pt idx="6">
                  <c:v>1200</c:v>
                </c:pt>
                <c:pt idx="7">
                  <c:v>1400</c:v>
                </c:pt>
                <c:pt idx="8">
                  <c:v>1600</c:v>
                </c:pt>
                <c:pt idx="9">
                  <c:v>1800</c:v>
                </c:pt>
                <c:pt idx="10">
                  <c:v>2000</c:v>
                </c:pt>
                <c:pt idx="11">
                  <c:v>2200</c:v>
                </c:pt>
                <c:pt idx="12">
                  <c:v>2400</c:v>
                </c:pt>
                <c:pt idx="13">
                  <c:v>2600</c:v>
                </c:pt>
                <c:pt idx="14">
                  <c:v>2800</c:v>
                </c:pt>
                <c:pt idx="15">
                  <c:v>3000</c:v>
                </c:pt>
              </c:numCache>
            </c:numRef>
          </c:cat>
          <c:val>
            <c:numRef>
              <c:f>Kostenrechnung!$R$8:$R$23</c:f>
              <c:numCache>
                <c:formatCode>General</c:formatCode>
                <c:ptCount val="16"/>
                <c:pt idx="0">
                  <c:v>0</c:v>
                </c:pt>
                <c:pt idx="1">
                  <c:v>54000</c:v>
                </c:pt>
                <c:pt idx="2">
                  <c:v>108000</c:v>
                </c:pt>
                <c:pt idx="3">
                  <c:v>162000</c:v>
                </c:pt>
                <c:pt idx="4">
                  <c:v>216000</c:v>
                </c:pt>
                <c:pt idx="5">
                  <c:v>270000</c:v>
                </c:pt>
                <c:pt idx="6">
                  <c:v>324000</c:v>
                </c:pt>
                <c:pt idx="7">
                  <c:v>378000</c:v>
                </c:pt>
                <c:pt idx="8">
                  <c:v>432000</c:v>
                </c:pt>
                <c:pt idx="9">
                  <c:v>486000</c:v>
                </c:pt>
                <c:pt idx="10">
                  <c:v>540000</c:v>
                </c:pt>
                <c:pt idx="11">
                  <c:v>594000</c:v>
                </c:pt>
                <c:pt idx="12">
                  <c:v>648000</c:v>
                </c:pt>
                <c:pt idx="13">
                  <c:v>702000</c:v>
                </c:pt>
                <c:pt idx="14">
                  <c:v>756000</c:v>
                </c:pt>
                <c:pt idx="15">
                  <c:v>810000</c:v>
                </c:pt>
              </c:numCache>
            </c:numRef>
          </c:val>
          <c:smooth val="0"/>
        </c:ser>
        <c:ser>
          <c:idx val="3"/>
          <c:order val="2"/>
          <c:tx>
            <c:v>Fixkosten</c:v>
          </c:tx>
          <c:marker>
            <c:symbol val="none"/>
          </c:marker>
          <c:cat>
            <c:numRef>
              <c:f>Kostenrechnung!$P$8:$P$23</c:f>
              <c:numCache>
                <c:formatCode>General</c:formatCode>
                <c:ptCount val="16"/>
                <c:pt idx="0">
                  <c:v>0</c:v>
                </c:pt>
                <c:pt idx="1">
                  <c:v>200</c:v>
                </c:pt>
                <c:pt idx="2">
                  <c:v>400</c:v>
                </c:pt>
                <c:pt idx="3">
                  <c:v>600</c:v>
                </c:pt>
                <c:pt idx="4">
                  <c:v>800</c:v>
                </c:pt>
                <c:pt idx="5">
                  <c:v>1000</c:v>
                </c:pt>
                <c:pt idx="6">
                  <c:v>1200</c:v>
                </c:pt>
                <c:pt idx="7">
                  <c:v>1400</c:v>
                </c:pt>
                <c:pt idx="8">
                  <c:v>1600</c:v>
                </c:pt>
                <c:pt idx="9">
                  <c:v>1800</c:v>
                </c:pt>
                <c:pt idx="10">
                  <c:v>2000</c:v>
                </c:pt>
                <c:pt idx="11">
                  <c:v>2200</c:v>
                </c:pt>
                <c:pt idx="12">
                  <c:v>2400</c:v>
                </c:pt>
                <c:pt idx="13">
                  <c:v>2600</c:v>
                </c:pt>
                <c:pt idx="14">
                  <c:v>2800</c:v>
                </c:pt>
                <c:pt idx="15">
                  <c:v>3000</c:v>
                </c:pt>
              </c:numCache>
            </c:numRef>
          </c:cat>
          <c:val>
            <c:numRef>
              <c:f>Kostenrechnung!$S$8:$S$23</c:f>
              <c:numCache>
                <c:formatCode>General</c:formatCode>
                <c:ptCount val="16"/>
                <c:pt idx="0">
                  <c:v>81460.317460317456</c:v>
                </c:pt>
                <c:pt idx="1">
                  <c:v>81460.317460317456</c:v>
                </c:pt>
                <c:pt idx="2">
                  <c:v>81460.317460317456</c:v>
                </c:pt>
                <c:pt idx="3">
                  <c:v>81460.317460317456</c:v>
                </c:pt>
                <c:pt idx="4">
                  <c:v>81460.317460317456</c:v>
                </c:pt>
                <c:pt idx="5">
                  <c:v>81460.317460317456</c:v>
                </c:pt>
                <c:pt idx="6">
                  <c:v>81460.317460317456</c:v>
                </c:pt>
                <c:pt idx="7">
                  <c:v>81460.317460317456</c:v>
                </c:pt>
                <c:pt idx="8">
                  <c:v>81460.317460317456</c:v>
                </c:pt>
                <c:pt idx="9">
                  <c:v>81460.317460317456</c:v>
                </c:pt>
                <c:pt idx="10">
                  <c:v>81460.317460317456</c:v>
                </c:pt>
                <c:pt idx="11">
                  <c:v>81460.317460317456</c:v>
                </c:pt>
                <c:pt idx="12">
                  <c:v>81460.317460317456</c:v>
                </c:pt>
                <c:pt idx="13">
                  <c:v>81460.317460317456</c:v>
                </c:pt>
                <c:pt idx="14">
                  <c:v>81460.317460317456</c:v>
                </c:pt>
                <c:pt idx="15">
                  <c:v>81460.317460317456</c:v>
                </c:pt>
              </c:numCache>
            </c:numRef>
          </c:val>
          <c:smooth val="0"/>
        </c:ser>
        <c:dLbls>
          <c:showLegendKey val="0"/>
          <c:showVal val="0"/>
          <c:showCatName val="0"/>
          <c:showSerName val="0"/>
          <c:showPercent val="0"/>
          <c:showBubbleSize val="0"/>
        </c:dLbls>
        <c:marker val="1"/>
        <c:smooth val="0"/>
        <c:axId val="117549696"/>
        <c:axId val="117551488"/>
      </c:lineChart>
      <c:catAx>
        <c:axId val="117549696"/>
        <c:scaling>
          <c:orientation val="minMax"/>
        </c:scaling>
        <c:delete val="0"/>
        <c:axPos val="b"/>
        <c:numFmt formatCode="General" sourceLinked="0"/>
        <c:majorTickMark val="out"/>
        <c:minorTickMark val="none"/>
        <c:tickLblPos val="nextTo"/>
        <c:txPr>
          <a:bodyPr rot="-2040000"/>
          <a:lstStyle/>
          <a:p>
            <a:pPr>
              <a:defRPr/>
            </a:pPr>
            <a:endParaRPr lang="de-DE"/>
          </a:p>
        </c:txPr>
        <c:crossAx val="117551488"/>
        <c:crosses val="autoZero"/>
        <c:auto val="1"/>
        <c:lblAlgn val="ctr"/>
        <c:lblOffset val="100"/>
        <c:noMultiLvlLbl val="0"/>
      </c:catAx>
      <c:valAx>
        <c:axId val="117551488"/>
        <c:scaling>
          <c:orientation val="minMax"/>
        </c:scaling>
        <c:delete val="0"/>
        <c:axPos val="l"/>
        <c:majorGridlines/>
        <c:numFmt formatCode="General" sourceLinked="1"/>
        <c:majorTickMark val="out"/>
        <c:minorTickMark val="none"/>
        <c:tickLblPos val="nextTo"/>
        <c:txPr>
          <a:bodyPr rot="-1140000"/>
          <a:lstStyle/>
          <a:p>
            <a:pPr>
              <a:defRPr/>
            </a:pPr>
            <a:endParaRPr lang="de-DE"/>
          </a:p>
        </c:txPr>
        <c:crossAx val="117549696"/>
        <c:crosses val="autoZero"/>
        <c:crossBetween val="midCat"/>
      </c:valAx>
    </c:plotArea>
    <c:legend>
      <c:legendPos val="r"/>
      <c:overlay val="0"/>
    </c:legend>
    <c:plotVisOnly val="1"/>
    <c:dispBlanksAs val="gap"/>
    <c:showDLblsOverMax val="0"/>
  </c:chart>
  <c:printSettings>
    <c:headerFooter/>
    <c:pageMargins b="0.78740157499999996" l="0.70000000000000062" r="0.70000000000000062" t="0.78740157499999996"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1"/>
          <c:order val="0"/>
          <c:tx>
            <c:v>Variable Kosten</c:v>
          </c:tx>
          <c:invertIfNegative val="0"/>
          <c:cat>
            <c:numRef>
              <c:f>Kostenrechnung!$P$28:$S$28</c:f>
              <c:numCache>
                <c:formatCode>0%</c:formatCode>
                <c:ptCount val="4"/>
                <c:pt idx="0">
                  <c:v>0.25</c:v>
                </c:pt>
                <c:pt idx="1">
                  <c:v>0.5</c:v>
                </c:pt>
                <c:pt idx="2">
                  <c:v>0.75</c:v>
                </c:pt>
                <c:pt idx="3">
                  <c:v>1</c:v>
                </c:pt>
              </c:numCache>
            </c:numRef>
          </c:cat>
          <c:val>
            <c:numRef>
              <c:f>Kostenrechnung!$P$32:$S$32</c:f>
              <c:numCache>
                <c:formatCode>0.00</c:formatCode>
                <c:ptCount val="4"/>
                <c:pt idx="0">
                  <c:v>121.83540608905311</c:v>
                </c:pt>
                <c:pt idx="1">
                  <c:v>121.83540608905311</c:v>
                </c:pt>
                <c:pt idx="2">
                  <c:v>121.83540608905311</c:v>
                </c:pt>
                <c:pt idx="3">
                  <c:v>121.83540608905311</c:v>
                </c:pt>
              </c:numCache>
            </c:numRef>
          </c:val>
        </c:ser>
        <c:ser>
          <c:idx val="0"/>
          <c:order val="1"/>
          <c:tx>
            <c:v>Fixkosten</c:v>
          </c:tx>
          <c:invertIfNegative val="0"/>
          <c:cat>
            <c:numRef>
              <c:f>Kostenrechnung!$P$28:$S$28</c:f>
              <c:numCache>
                <c:formatCode>0%</c:formatCode>
                <c:ptCount val="4"/>
                <c:pt idx="0">
                  <c:v>0.25</c:v>
                </c:pt>
                <c:pt idx="1">
                  <c:v>0.5</c:v>
                </c:pt>
                <c:pt idx="2">
                  <c:v>0.75</c:v>
                </c:pt>
                <c:pt idx="3">
                  <c:v>1</c:v>
                </c:pt>
              </c:numCache>
            </c:numRef>
          </c:cat>
          <c:val>
            <c:numRef>
              <c:f>Kostenrechnung!$P$31:$S$31</c:f>
              <c:numCache>
                <c:formatCode>0.00</c:formatCode>
                <c:ptCount val="4"/>
                <c:pt idx="0">
                  <c:v>171.06666666666666</c:v>
                </c:pt>
                <c:pt idx="1">
                  <c:v>85.533333333333331</c:v>
                </c:pt>
                <c:pt idx="2">
                  <c:v>57.022222222222219</c:v>
                </c:pt>
                <c:pt idx="3">
                  <c:v>42.766666666666666</c:v>
                </c:pt>
              </c:numCache>
            </c:numRef>
          </c:val>
        </c:ser>
        <c:ser>
          <c:idx val="2"/>
          <c:order val="2"/>
          <c:tx>
            <c:v>Gesamtkosten</c:v>
          </c:tx>
          <c:invertIfNegative val="0"/>
          <c:cat>
            <c:numRef>
              <c:f>Kostenrechnung!$P$28:$S$28</c:f>
              <c:numCache>
                <c:formatCode>0%</c:formatCode>
                <c:ptCount val="4"/>
                <c:pt idx="0">
                  <c:v>0.25</c:v>
                </c:pt>
                <c:pt idx="1">
                  <c:v>0.5</c:v>
                </c:pt>
                <c:pt idx="2">
                  <c:v>0.75</c:v>
                </c:pt>
                <c:pt idx="3">
                  <c:v>1</c:v>
                </c:pt>
              </c:numCache>
            </c:numRef>
          </c:cat>
          <c:val>
            <c:numRef>
              <c:f>Kostenrechnung!$P$33:$S$33</c:f>
              <c:numCache>
                <c:formatCode>0.00</c:formatCode>
                <c:ptCount val="4"/>
                <c:pt idx="0">
                  <c:v>292.90207275571976</c:v>
                </c:pt>
                <c:pt idx="1">
                  <c:v>207.36873942238645</c:v>
                </c:pt>
                <c:pt idx="2">
                  <c:v>178.85762831127533</c:v>
                </c:pt>
                <c:pt idx="3">
                  <c:v>164.60207275571977</c:v>
                </c:pt>
              </c:numCache>
            </c:numRef>
          </c:val>
        </c:ser>
        <c:dLbls>
          <c:showLegendKey val="0"/>
          <c:showVal val="0"/>
          <c:showCatName val="0"/>
          <c:showSerName val="0"/>
          <c:showPercent val="0"/>
          <c:showBubbleSize val="0"/>
        </c:dLbls>
        <c:gapWidth val="150"/>
        <c:shape val="box"/>
        <c:axId val="122163200"/>
        <c:axId val="122164736"/>
        <c:axId val="0"/>
      </c:bar3DChart>
      <c:catAx>
        <c:axId val="122163200"/>
        <c:scaling>
          <c:orientation val="minMax"/>
        </c:scaling>
        <c:delete val="0"/>
        <c:axPos val="b"/>
        <c:numFmt formatCode="0%" sourceLinked="1"/>
        <c:majorTickMark val="out"/>
        <c:minorTickMark val="none"/>
        <c:tickLblPos val="nextTo"/>
        <c:crossAx val="122164736"/>
        <c:crosses val="autoZero"/>
        <c:auto val="1"/>
        <c:lblAlgn val="ctr"/>
        <c:lblOffset val="100"/>
        <c:noMultiLvlLbl val="0"/>
      </c:catAx>
      <c:valAx>
        <c:axId val="122164736"/>
        <c:scaling>
          <c:orientation val="minMax"/>
        </c:scaling>
        <c:delete val="0"/>
        <c:axPos val="l"/>
        <c:majorGridlines/>
        <c:numFmt formatCode="#,##0.00\ &quot;€&quot;" sourceLinked="0"/>
        <c:majorTickMark val="out"/>
        <c:minorTickMark val="none"/>
        <c:tickLblPos val="nextTo"/>
        <c:crossAx val="122163200"/>
        <c:crosses val="autoZero"/>
        <c:crossBetween val="between"/>
      </c:valAx>
    </c:plotArea>
    <c:legend>
      <c:legendPos val="r"/>
      <c:overlay val="0"/>
    </c:legend>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3</xdr:row>
      <xdr:rowOff>6351</xdr:rowOff>
    </xdr:from>
    <xdr:to>
      <xdr:col>7</xdr:col>
      <xdr:colOff>9525</xdr:colOff>
      <xdr:row>21</xdr:row>
      <xdr:rowOff>127001</xdr:rowOff>
    </xdr:to>
    <xdr:pic>
      <xdr:nvPicPr>
        <xdr:cNvPr id="3" name="Grafik 2" descr="Technikergruppe.jpg"/>
        <xdr:cNvPicPr>
          <a:picLocks noChangeAspect="1"/>
        </xdr:cNvPicPr>
      </xdr:nvPicPr>
      <xdr:blipFill>
        <a:blip xmlns:r="http://schemas.openxmlformats.org/officeDocument/2006/relationships" r:embed="rId1" cstate="print"/>
        <a:stretch>
          <a:fillRect/>
        </a:stretch>
      </xdr:blipFill>
      <xdr:spPr>
        <a:xfrm>
          <a:off x="19050" y="577851"/>
          <a:ext cx="5324475" cy="3549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19049</xdr:colOff>
      <xdr:row>2</xdr:row>
      <xdr:rowOff>0</xdr:rowOff>
    </xdr:from>
    <xdr:to>
      <xdr:col>16</xdr:col>
      <xdr:colOff>9525</xdr:colOff>
      <xdr:row>23</xdr:row>
      <xdr:rowOff>142874</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26</xdr:row>
      <xdr:rowOff>180975</xdr:rowOff>
    </xdr:from>
    <xdr:to>
      <xdr:col>12</xdr:col>
      <xdr:colOff>428625</xdr:colOff>
      <xdr:row>41</xdr:row>
      <xdr:rowOff>57150</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533400</xdr:colOff>
      <xdr:row>22</xdr:row>
      <xdr:rowOff>57149</xdr:rowOff>
    </xdr:from>
    <xdr:to>
      <xdr:col>14</xdr:col>
      <xdr:colOff>209550</xdr:colOff>
      <xdr:row>24</xdr:row>
      <xdr:rowOff>9524</xdr:rowOff>
    </xdr:to>
    <xdr:sp macro="" textlink="">
      <xdr:nvSpPr>
        <xdr:cNvPr id="5" name="Textfeld 4"/>
        <xdr:cNvSpPr txBox="1"/>
      </xdr:nvSpPr>
      <xdr:spPr>
        <a:xfrm>
          <a:off x="8867775" y="4057649"/>
          <a:ext cx="19621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100"/>
            <a:t>Absatzmenge in m³</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cdr:x>
      <cdr:y>0.06437</cdr:y>
    </cdr:from>
    <cdr:to>
      <cdr:x>0.04046</cdr:x>
      <cdr:y>0.37011</cdr:y>
    </cdr:to>
    <cdr:sp macro="" textlink="">
      <cdr:nvSpPr>
        <cdr:cNvPr id="2" name="Textfeld 1"/>
        <cdr:cNvSpPr txBox="1"/>
      </cdr:nvSpPr>
      <cdr:spPr>
        <a:xfrm xmlns:a="http://schemas.openxmlformats.org/drawingml/2006/main" rot="16200000">
          <a:off x="-481011" y="747711"/>
          <a:ext cx="1266824" cy="3048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Verkaufspreis in €</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tabSelected="1" zoomScaleNormal="100" workbookViewId="0">
      <selection activeCell="A24" sqref="A24"/>
    </sheetView>
  </sheetViews>
  <sheetFormatPr baseColWidth="10" defaultRowHeight="15" x14ac:dyDescent="0.25"/>
  <cols>
    <col min="1" max="16384" width="11.42578125" style="26"/>
  </cols>
  <sheetData>
    <row r="1" spans="1:7" x14ac:dyDescent="0.25">
      <c r="A1" s="281" t="s">
        <v>329</v>
      </c>
      <c r="B1" s="281"/>
      <c r="C1" s="281"/>
      <c r="D1" s="281"/>
      <c r="E1" s="281"/>
      <c r="F1" s="281"/>
      <c r="G1" s="281"/>
    </row>
    <row r="2" spans="1:7" x14ac:dyDescent="0.25">
      <c r="A2" s="281"/>
      <c r="B2" s="281"/>
      <c r="C2" s="281"/>
      <c r="D2" s="281"/>
      <c r="E2" s="281"/>
      <c r="F2" s="281"/>
      <c r="G2" s="281"/>
    </row>
    <row r="3" spans="1:7" x14ac:dyDescent="0.25">
      <c r="A3" s="281"/>
      <c r="B3" s="281"/>
      <c r="C3" s="281"/>
      <c r="D3" s="281"/>
      <c r="E3" s="281"/>
      <c r="F3" s="281"/>
      <c r="G3" s="281"/>
    </row>
    <row r="23" spans="1:7" x14ac:dyDescent="0.25">
      <c r="A23" s="26" t="s">
        <v>333</v>
      </c>
    </row>
    <row r="25" spans="1:7" x14ac:dyDescent="0.25">
      <c r="A25" s="282" t="s">
        <v>332</v>
      </c>
      <c r="B25" s="282"/>
      <c r="C25" s="282"/>
      <c r="D25" s="282"/>
      <c r="E25" s="282"/>
      <c r="F25" s="282"/>
      <c r="G25" s="282"/>
    </row>
    <row r="26" spans="1:7" x14ac:dyDescent="0.25">
      <c r="A26" s="282"/>
      <c r="B26" s="282"/>
      <c r="C26" s="282"/>
      <c r="D26" s="282"/>
      <c r="E26" s="282"/>
      <c r="F26" s="282"/>
      <c r="G26" s="282"/>
    </row>
    <row r="27" spans="1:7" x14ac:dyDescent="0.25">
      <c r="A27" s="282"/>
      <c r="B27" s="282"/>
      <c r="C27" s="282"/>
      <c r="D27" s="282"/>
      <c r="E27" s="282"/>
      <c r="F27" s="282"/>
      <c r="G27" s="282"/>
    </row>
    <row r="28" spans="1:7" x14ac:dyDescent="0.25">
      <c r="A28" s="282"/>
      <c r="B28" s="282"/>
      <c r="C28" s="282"/>
      <c r="D28" s="282"/>
      <c r="E28" s="282"/>
      <c r="F28" s="282"/>
      <c r="G28" s="282"/>
    </row>
    <row r="29" spans="1:7" x14ac:dyDescent="0.25">
      <c r="A29" s="282"/>
      <c r="B29" s="282"/>
      <c r="C29" s="282"/>
      <c r="D29" s="282"/>
      <c r="E29" s="282"/>
      <c r="F29" s="282"/>
      <c r="G29" s="282"/>
    </row>
    <row r="30" spans="1:7" x14ac:dyDescent="0.25">
      <c r="A30" s="282"/>
      <c r="B30" s="282"/>
      <c r="C30" s="282"/>
      <c r="D30" s="282"/>
      <c r="E30" s="282"/>
      <c r="F30" s="282"/>
      <c r="G30" s="282"/>
    </row>
    <row r="31" spans="1:7" x14ac:dyDescent="0.25">
      <c r="A31" s="282"/>
      <c r="B31" s="282"/>
      <c r="C31" s="282"/>
      <c r="D31" s="282"/>
      <c r="E31" s="282"/>
      <c r="F31" s="282"/>
      <c r="G31" s="282"/>
    </row>
    <row r="32" spans="1:7" x14ac:dyDescent="0.25">
      <c r="A32" s="282"/>
      <c r="B32" s="282"/>
      <c r="C32" s="282"/>
      <c r="D32" s="282"/>
      <c r="E32" s="282"/>
      <c r="F32" s="282"/>
      <c r="G32" s="282"/>
    </row>
    <row r="33" spans="1:7" x14ac:dyDescent="0.25">
      <c r="A33" s="282"/>
      <c r="B33" s="282"/>
      <c r="C33" s="282"/>
      <c r="D33" s="282"/>
      <c r="E33" s="282"/>
      <c r="F33" s="282"/>
      <c r="G33" s="282"/>
    </row>
    <row r="34" spans="1:7" x14ac:dyDescent="0.25">
      <c r="A34" s="282"/>
      <c r="B34" s="282"/>
      <c r="C34" s="282"/>
      <c r="D34" s="282"/>
      <c r="E34" s="282"/>
      <c r="F34" s="282"/>
      <c r="G34" s="282"/>
    </row>
    <row r="35" spans="1:7" x14ac:dyDescent="0.25">
      <c r="A35" s="282"/>
      <c r="B35" s="282"/>
      <c r="C35" s="282"/>
      <c r="D35" s="282"/>
      <c r="E35" s="282"/>
      <c r="F35" s="282"/>
      <c r="G35" s="282"/>
    </row>
    <row r="36" spans="1:7" x14ac:dyDescent="0.25">
      <c r="A36" s="282"/>
      <c r="B36" s="282"/>
      <c r="C36" s="282"/>
      <c r="D36" s="282"/>
      <c r="E36" s="282"/>
      <c r="F36" s="282"/>
      <c r="G36" s="282"/>
    </row>
    <row r="37" spans="1:7" x14ac:dyDescent="0.25">
      <c r="A37" s="282"/>
      <c r="B37" s="282"/>
      <c r="C37" s="282"/>
      <c r="D37" s="282"/>
      <c r="E37" s="282"/>
      <c r="F37" s="282"/>
      <c r="G37" s="282"/>
    </row>
    <row r="38" spans="1:7" x14ac:dyDescent="0.25">
      <c r="A38" s="282"/>
      <c r="B38" s="282"/>
      <c r="C38" s="282"/>
      <c r="D38" s="282"/>
      <c r="E38" s="282"/>
      <c r="F38" s="282"/>
      <c r="G38" s="282"/>
    </row>
    <row r="39" spans="1:7" x14ac:dyDescent="0.25">
      <c r="A39" s="282"/>
      <c r="B39" s="282"/>
      <c r="C39" s="282"/>
      <c r="D39" s="282"/>
      <c r="E39" s="282"/>
      <c r="F39" s="282"/>
      <c r="G39" s="282"/>
    </row>
    <row r="40" spans="1:7" x14ac:dyDescent="0.25">
      <c r="A40" s="282"/>
      <c r="B40" s="282"/>
      <c r="C40" s="282"/>
      <c r="D40" s="282"/>
      <c r="E40" s="282"/>
      <c r="F40" s="282"/>
      <c r="G40" s="282"/>
    </row>
    <row r="41" spans="1:7" x14ac:dyDescent="0.25">
      <c r="A41" s="282"/>
      <c r="B41" s="282"/>
      <c r="C41" s="282"/>
      <c r="D41" s="282"/>
      <c r="E41" s="282"/>
      <c r="F41" s="282"/>
      <c r="G41" s="282"/>
    </row>
    <row r="42" spans="1:7" x14ac:dyDescent="0.25">
      <c r="A42" s="282"/>
      <c r="B42" s="282"/>
      <c r="C42" s="282"/>
      <c r="D42" s="282"/>
      <c r="E42" s="282"/>
      <c r="F42" s="282"/>
      <c r="G42" s="282"/>
    </row>
    <row r="43" spans="1:7" x14ac:dyDescent="0.25">
      <c r="A43" s="282"/>
      <c r="B43" s="282"/>
      <c r="C43" s="282"/>
      <c r="D43" s="282"/>
      <c r="E43" s="282"/>
      <c r="F43" s="282"/>
      <c r="G43" s="282"/>
    </row>
    <row r="44" spans="1:7" x14ac:dyDescent="0.25">
      <c r="A44" s="282"/>
      <c r="B44" s="282"/>
      <c r="C44" s="282"/>
      <c r="D44" s="282"/>
      <c r="E44" s="282"/>
      <c r="F44" s="282"/>
      <c r="G44" s="282"/>
    </row>
  </sheetData>
  <mergeCells count="2">
    <mergeCell ref="A1:G3"/>
    <mergeCell ref="A25:G44"/>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zoomScaleNormal="100" workbookViewId="0">
      <selection activeCell="U9" sqref="U9"/>
    </sheetView>
  </sheetViews>
  <sheetFormatPr baseColWidth="10" defaultRowHeight="15" x14ac:dyDescent="0.25"/>
  <cols>
    <col min="1" max="1" width="23.5703125" customWidth="1"/>
    <col min="2" max="5" width="7.42578125" customWidth="1"/>
    <col min="6" max="6" width="4" customWidth="1"/>
    <col min="7" max="10" width="7.42578125" customWidth="1"/>
    <col min="12" max="12" width="20.42578125" customWidth="1"/>
    <col min="13" max="16" width="8.7109375" customWidth="1"/>
  </cols>
  <sheetData>
    <row r="1" spans="1:17" ht="15" customHeight="1" thickTop="1" x14ac:dyDescent="0.25">
      <c r="A1" s="289" t="s">
        <v>309</v>
      </c>
      <c r="B1" s="290"/>
      <c r="C1" s="290"/>
      <c r="D1" s="290"/>
      <c r="E1" s="290"/>
      <c r="F1" s="260"/>
      <c r="G1" s="260"/>
      <c r="H1" s="260"/>
      <c r="I1" s="260"/>
      <c r="J1" s="260"/>
      <c r="K1" s="260"/>
      <c r="L1" s="260"/>
      <c r="M1" s="260"/>
      <c r="N1" s="260"/>
      <c r="O1" s="260"/>
      <c r="P1" s="261"/>
      <c r="Q1" s="131"/>
    </row>
    <row r="2" spans="1:17" ht="15" customHeight="1" thickBot="1" x14ac:dyDescent="0.3">
      <c r="A2" s="291"/>
      <c r="B2" s="292"/>
      <c r="C2" s="292"/>
      <c r="D2" s="292"/>
      <c r="E2" s="292"/>
      <c r="F2" s="262"/>
      <c r="G2" s="262"/>
      <c r="H2" s="262"/>
      <c r="I2" s="262"/>
      <c r="J2" s="262"/>
      <c r="K2" s="262"/>
      <c r="L2" s="262"/>
      <c r="M2" s="262"/>
      <c r="N2" s="262"/>
      <c r="O2" s="262"/>
      <c r="P2" s="263"/>
      <c r="Q2" s="106"/>
    </row>
    <row r="3" spans="1:17" ht="15.95" customHeight="1" thickTop="1" thickBot="1" x14ac:dyDescent="0.3">
      <c r="A3" s="270" t="s">
        <v>0</v>
      </c>
      <c r="B3" s="283" t="s">
        <v>1</v>
      </c>
      <c r="C3" s="284"/>
      <c r="D3" s="284"/>
      <c r="E3" s="285"/>
      <c r="F3" s="96"/>
      <c r="G3" s="283" t="s">
        <v>2</v>
      </c>
      <c r="H3" s="284"/>
      <c r="I3" s="284"/>
      <c r="J3" s="285"/>
      <c r="K3" s="96"/>
      <c r="L3" s="91" t="s">
        <v>129</v>
      </c>
      <c r="M3" s="91" t="s">
        <v>118</v>
      </c>
      <c r="N3" s="91" t="s">
        <v>119</v>
      </c>
      <c r="O3" s="91" t="s">
        <v>120</v>
      </c>
      <c r="P3" s="91"/>
      <c r="Q3" s="106"/>
    </row>
    <row r="4" spans="1:17" ht="15.95" customHeight="1" thickTop="1" thickBot="1" x14ac:dyDescent="0.3">
      <c r="A4" s="269" t="s">
        <v>3</v>
      </c>
      <c r="B4" s="283">
        <v>30000</v>
      </c>
      <c r="C4" s="284"/>
      <c r="D4" s="284"/>
      <c r="E4" s="285"/>
      <c r="F4" s="96"/>
      <c r="G4" s="283">
        <v>10000</v>
      </c>
      <c r="H4" s="284"/>
      <c r="I4" s="284"/>
      <c r="J4" s="285"/>
      <c r="K4" s="96"/>
      <c r="L4" s="38" t="s">
        <v>123</v>
      </c>
      <c r="M4" s="30">
        <f>Volumen!M20</f>
        <v>4</v>
      </c>
      <c r="N4" s="30">
        <f>Volumen!N20</f>
        <v>5</v>
      </c>
      <c r="O4" s="30">
        <f>Volumen!O20</f>
        <v>3</v>
      </c>
      <c r="P4" s="30">
        <f>Volumen!P20</f>
        <v>60</v>
      </c>
      <c r="Q4" s="106"/>
    </row>
    <row r="5" spans="1:17" ht="15.95" customHeight="1" thickTop="1" thickBot="1" x14ac:dyDescent="0.3">
      <c r="A5" s="269" t="s">
        <v>330</v>
      </c>
      <c r="B5" s="286">
        <v>0.5</v>
      </c>
      <c r="C5" s="287"/>
      <c r="D5" s="287"/>
      <c r="E5" s="288"/>
      <c r="F5" s="96"/>
      <c r="G5" s="286">
        <v>0.5</v>
      </c>
      <c r="H5" s="287"/>
      <c r="I5" s="287"/>
      <c r="J5" s="288"/>
      <c r="K5" s="96"/>
      <c r="L5" s="38" t="s">
        <v>130</v>
      </c>
      <c r="M5" s="30">
        <f>Volumen!M22</f>
        <v>11.3</v>
      </c>
      <c r="N5" s="30">
        <f>Volumen!N22</f>
        <v>5.9</v>
      </c>
      <c r="O5" s="30">
        <f>Volumen!O22</f>
        <v>3.8000000000000003</v>
      </c>
      <c r="P5" s="30">
        <f>Volumen!P22</f>
        <v>253.34600000000003</v>
      </c>
      <c r="Q5" s="106"/>
    </row>
    <row r="6" spans="1:17" ht="15.95" customHeight="1" thickTop="1" thickBot="1" x14ac:dyDescent="0.3">
      <c r="A6" s="269" t="s">
        <v>4</v>
      </c>
      <c r="B6" s="283">
        <f>B4*B5</f>
        <v>15000</v>
      </c>
      <c r="C6" s="284"/>
      <c r="D6" s="284"/>
      <c r="E6" s="285"/>
      <c r="F6" s="96"/>
      <c r="G6" s="283">
        <f>G4*G5</f>
        <v>5000</v>
      </c>
      <c r="H6" s="284"/>
      <c r="I6" s="284"/>
      <c r="J6" s="285"/>
      <c r="K6" s="96"/>
      <c r="L6" s="96"/>
      <c r="M6" s="96"/>
      <c r="N6" s="96"/>
      <c r="O6" s="96"/>
      <c r="P6" s="96"/>
      <c r="Q6" s="106"/>
    </row>
    <row r="7" spans="1:17" ht="15.95" customHeight="1" thickTop="1" thickBot="1" x14ac:dyDescent="0.3">
      <c r="A7" s="269" t="s">
        <v>19</v>
      </c>
      <c r="B7" s="283" t="s">
        <v>20</v>
      </c>
      <c r="C7" s="284"/>
      <c r="D7" s="284"/>
      <c r="E7" s="285"/>
      <c r="F7" s="96"/>
      <c r="G7" s="283" t="s">
        <v>20</v>
      </c>
      <c r="H7" s="284"/>
      <c r="I7" s="284"/>
      <c r="J7" s="285"/>
      <c r="K7" s="96"/>
      <c r="L7" s="38" t="s">
        <v>126</v>
      </c>
      <c r="M7" s="30">
        <f>Volumen!M24</f>
        <v>7</v>
      </c>
      <c r="N7" s="96"/>
      <c r="O7" s="96"/>
      <c r="P7" s="96"/>
      <c r="Q7" s="106"/>
    </row>
    <row r="8" spans="1:17" ht="15.95" customHeight="1" thickTop="1" thickBot="1" x14ac:dyDescent="0.3">
      <c r="A8" s="109"/>
      <c r="B8" s="96"/>
      <c r="C8" s="96"/>
      <c r="D8" s="96"/>
      <c r="E8" s="96"/>
      <c r="F8" s="96"/>
      <c r="G8" s="96"/>
      <c r="H8" s="96"/>
      <c r="I8" s="96"/>
      <c r="J8" s="96"/>
      <c r="K8" s="96"/>
      <c r="L8" s="38" t="s">
        <v>108</v>
      </c>
      <c r="M8" s="39">
        <f>Volumen!B33</f>
        <v>103.9939908235245</v>
      </c>
      <c r="N8" s="96" t="s">
        <v>35</v>
      </c>
      <c r="O8" s="96"/>
      <c r="P8" s="96"/>
      <c r="Q8" s="106"/>
    </row>
    <row r="9" spans="1:17" ht="15.95" customHeight="1" thickTop="1" thickBot="1" x14ac:dyDescent="0.3">
      <c r="A9" s="269" t="s">
        <v>5</v>
      </c>
      <c r="B9" s="275">
        <v>24</v>
      </c>
      <c r="C9" s="275">
        <v>36</v>
      </c>
      <c r="D9" s="275">
        <v>59</v>
      </c>
      <c r="E9" s="275">
        <v>0</v>
      </c>
      <c r="F9" s="96"/>
      <c r="G9" s="275">
        <v>24</v>
      </c>
      <c r="H9" s="275">
        <v>36</v>
      </c>
      <c r="I9" s="275">
        <v>59</v>
      </c>
      <c r="J9" s="275">
        <v>0</v>
      </c>
      <c r="K9" s="96"/>
      <c r="L9" s="96"/>
      <c r="M9" s="96"/>
      <c r="N9" s="96"/>
      <c r="O9" s="96"/>
      <c r="P9" s="96"/>
      <c r="Q9" s="106"/>
    </row>
    <row r="10" spans="1:17" ht="15.95" customHeight="1" thickTop="1" thickBot="1" x14ac:dyDescent="0.3">
      <c r="A10" s="269" t="s">
        <v>6</v>
      </c>
      <c r="B10" s="278">
        <v>0.33333333333333331</v>
      </c>
      <c r="C10" s="278">
        <v>0.33333333333333331</v>
      </c>
      <c r="D10" s="278">
        <v>0.33333333333333331</v>
      </c>
      <c r="E10" s="278">
        <v>0</v>
      </c>
      <c r="F10" s="117"/>
      <c r="G10" s="278">
        <v>0.33333333333333331</v>
      </c>
      <c r="H10" s="278">
        <v>0.33333333333333331</v>
      </c>
      <c r="I10" s="278">
        <v>0.33333333333333331</v>
      </c>
      <c r="J10" s="278">
        <v>0</v>
      </c>
      <c r="K10" s="96"/>
      <c r="L10" s="38" t="s">
        <v>131</v>
      </c>
      <c r="M10" s="39">
        <f>Trockenzeit!C37</f>
        <v>392.37950436657832</v>
      </c>
      <c r="N10" s="96" t="s">
        <v>106</v>
      </c>
      <c r="O10" s="96"/>
      <c r="P10" s="96"/>
      <c r="Q10" s="106"/>
    </row>
    <row r="11" spans="1:17" ht="15.95" customHeight="1" thickTop="1" x14ac:dyDescent="0.25">
      <c r="A11" s="271" t="s">
        <v>7</v>
      </c>
      <c r="B11" s="36">
        <f>$B6*B10</f>
        <v>5000</v>
      </c>
      <c r="C11" s="36">
        <f>$B6*C10</f>
        <v>5000</v>
      </c>
      <c r="D11" s="36">
        <f>$B6*D10</f>
        <v>5000</v>
      </c>
      <c r="E11" s="36">
        <f>$B6*E10</f>
        <v>0</v>
      </c>
      <c r="F11" s="121"/>
      <c r="G11" s="36">
        <f>$G6*G10</f>
        <v>1666.6666666666665</v>
      </c>
      <c r="H11" s="36">
        <f>$G6*H10</f>
        <v>1666.6666666666665</v>
      </c>
      <c r="I11" s="36">
        <f>$G6*I10</f>
        <v>1666.6666666666665</v>
      </c>
      <c r="J11" s="36">
        <f>$G6*J10</f>
        <v>0</v>
      </c>
      <c r="K11" s="96"/>
      <c r="L11" s="38" t="s">
        <v>132</v>
      </c>
      <c r="M11" s="39">
        <f>Volumen!M11</f>
        <v>1.5444000000000007</v>
      </c>
      <c r="N11" s="96" t="s">
        <v>154</v>
      </c>
      <c r="O11" s="96"/>
      <c r="P11" s="96"/>
      <c r="Q11" s="106"/>
    </row>
    <row r="12" spans="1:17" ht="15.95" customHeight="1" thickBot="1" x14ac:dyDescent="0.3">
      <c r="A12" s="109"/>
      <c r="B12" s="96"/>
      <c r="C12" s="96"/>
      <c r="D12" s="96"/>
      <c r="E12" s="96"/>
      <c r="F12" s="96"/>
      <c r="G12" s="96"/>
      <c r="H12" s="96"/>
      <c r="I12" s="96"/>
      <c r="J12" s="96"/>
      <c r="K12" s="96"/>
      <c r="L12" s="38" t="s">
        <v>114</v>
      </c>
      <c r="M12" s="39">
        <f>M11*P4</f>
        <v>92.664000000000044</v>
      </c>
      <c r="N12" s="96" t="s">
        <v>286</v>
      </c>
      <c r="O12" s="96"/>
      <c r="P12" s="96"/>
      <c r="Q12" s="106"/>
    </row>
    <row r="13" spans="1:17" ht="15.95" customHeight="1" thickTop="1" thickBot="1" x14ac:dyDescent="0.3">
      <c r="A13" s="269" t="s">
        <v>8</v>
      </c>
      <c r="B13" s="275">
        <v>1</v>
      </c>
      <c r="C13" s="275">
        <v>1</v>
      </c>
      <c r="D13" s="275">
        <v>0</v>
      </c>
      <c r="E13" s="275">
        <v>0</v>
      </c>
      <c r="F13" s="122"/>
      <c r="G13" s="275">
        <v>1</v>
      </c>
      <c r="H13" s="275">
        <v>1</v>
      </c>
      <c r="I13" s="275">
        <v>0</v>
      </c>
      <c r="J13" s="275">
        <v>0</v>
      </c>
      <c r="K13" s="96"/>
      <c r="L13" s="96"/>
      <c r="M13" s="96"/>
      <c r="N13" s="96"/>
      <c r="O13" s="96"/>
      <c r="P13" s="96"/>
      <c r="Q13" s="106"/>
    </row>
    <row r="14" spans="1:17" ht="15.95" customHeight="1" thickTop="1" x14ac:dyDescent="0.25">
      <c r="A14" s="271" t="s">
        <v>9</v>
      </c>
      <c r="B14" s="37">
        <f>B11*B13</f>
        <v>5000</v>
      </c>
      <c r="C14" s="36">
        <f>C11*C13</f>
        <v>5000</v>
      </c>
      <c r="D14" s="36">
        <f>D11*D13</f>
        <v>0</v>
      </c>
      <c r="E14" s="124">
        <f>E11*E13</f>
        <v>0</v>
      </c>
      <c r="F14" s="123"/>
      <c r="G14" s="36">
        <f>G11*G13</f>
        <v>1666.6666666666665</v>
      </c>
      <c r="H14" s="36">
        <f>H11*H13</f>
        <v>1666.6666666666665</v>
      </c>
      <c r="I14" s="36">
        <f>I11*I13</f>
        <v>0</v>
      </c>
      <c r="J14" s="36">
        <f>J11*J13</f>
        <v>0</v>
      </c>
      <c r="K14" s="96"/>
      <c r="L14" s="38" t="s">
        <v>284</v>
      </c>
      <c r="M14" s="126">
        <f>Kostenrechnung!D24</f>
        <v>84.602072755719774</v>
      </c>
      <c r="N14" s="128" t="s">
        <v>283</v>
      </c>
      <c r="O14" s="96"/>
      <c r="P14" s="96"/>
      <c r="Q14" s="106"/>
    </row>
    <row r="15" spans="1:17" ht="15.95" customHeight="1" x14ac:dyDescent="0.25">
      <c r="A15" s="109"/>
      <c r="B15" s="96"/>
      <c r="C15" s="96"/>
      <c r="D15" s="96"/>
      <c r="E15" s="96"/>
      <c r="F15" s="96"/>
      <c r="G15" s="96"/>
      <c r="H15" s="96"/>
      <c r="I15" s="96"/>
      <c r="J15" s="96"/>
      <c r="K15" s="96"/>
      <c r="L15" s="38" t="s">
        <v>287</v>
      </c>
      <c r="M15" s="126">
        <f>Kostenrechnung!S33</f>
        <v>164.60207275571977</v>
      </c>
      <c r="N15" s="128" t="s">
        <v>328</v>
      </c>
      <c r="O15" s="26"/>
      <c r="P15" s="96"/>
      <c r="Q15" s="106"/>
    </row>
    <row r="16" spans="1:17" ht="15.95" customHeight="1" thickBot="1" x14ac:dyDescent="0.3">
      <c r="A16" s="296" t="s">
        <v>10</v>
      </c>
      <c r="B16" s="297"/>
      <c r="C16" s="297"/>
      <c r="D16" s="297"/>
      <c r="E16" s="297"/>
      <c r="F16" s="298"/>
      <c r="G16" s="297"/>
      <c r="H16" s="297"/>
      <c r="I16" s="297"/>
      <c r="J16" s="297"/>
      <c r="K16" s="96"/>
      <c r="L16" s="120" t="s">
        <v>285</v>
      </c>
      <c r="M16" s="127">
        <f>Kostenrechnung!H25</f>
        <v>772.88348632812585</v>
      </c>
      <c r="N16" s="128" t="s">
        <v>154</v>
      </c>
      <c r="O16" s="96"/>
      <c r="P16" s="96"/>
      <c r="Q16" s="106"/>
    </row>
    <row r="17" spans="1:17" ht="15.95" customHeight="1" thickTop="1" thickBot="1" x14ac:dyDescent="0.3">
      <c r="A17" s="270" t="s">
        <v>11</v>
      </c>
      <c r="B17" s="299">
        <v>2.6</v>
      </c>
      <c r="C17" s="300"/>
      <c r="D17" s="300"/>
      <c r="E17" s="301"/>
      <c r="F17" s="129"/>
      <c r="G17" s="299">
        <v>2.6</v>
      </c>
      <c r="H17" s="300"/>
      <c r="I17" s="300"/>
      <c r="J17" s="301"/>
      <c r="K17" s="96"/>
      <c r="L17" s="120" t="s">
        <v>282</v>
      </c>
      <c r="M17" s="127">
        <f>Kostenrechnung!H26</f>
        <v>208678.54130859394</v>
      </c>
      <c r="N17" s="128" t="s">
        <v>283</v>
      </c>
      <c r="O17" s="96"/>
      <c r="P17" s="96"/>
      <c r="Q17" s="106"/>
    </row>
    <row r="18" spans="1:17" ht="15.95" customHeight="1" thickTop="1" thickBot="1" x14ac:dyDescent="0.3">
      <c r="A18" s="269" t="s">
        <v>12</v>
      </c>
      <c r="B18" s="299">
        <v>1.1000000000000001</v>
      </c>
      <c r="C18" s="300"/>
      <c r="D18" s="300"/>
      <c r="E18" s="301"/>
      <c r="F18" s="130"/>
      <c r="G18" s="302">
        <f>B18</f>
        <v>1.1000000000000001</v>
      </c>
      <c r="H18" s="303"/>
      <c r="I18" s="303"/>
      <c r="J18" s="304"/>
      <c r="K18" s="96"/>
      <c r="L18" s="96"/>
      <c r="M18" s="96"/>
      <c r="N18" s="96"/>
      <c r="O18" s="96"/>
      <c r="P18" s="96"/>
      <c r="Q18" s="106"/>
    </row>
    <row r="19" spans="1:17" ht="15.95" customHeight="1" thickTop="1" thickBot="1" x14ac:dyDescent="0.3">
      <c r="A19" s="269" t="s">
        <v>13</v>
      </c>
      <c r="B19" s="299">
        <v>1.1000000000000001</v>
      </c>
      <c r="C19" s="300"/>
      <c r="D19" s="300"/>
      <c r="E19" s="301"/>
      <c r="F19" s="130"/>
      <c r="G19" s="305">
        <f>B19</f>
        <v>1.1000000000000001</v>
      </c>
      <c r="H19" s="306"/>
      <c r="I19" s="306"/>
      <c r="J19" s="307"/>
      <c r="K19" s="96"/>
      <c r="L19" s="96"/>
      <c r="M19" s="96"/>
      <c r="N19" s="96"/>
      <c r="O19" s="96"/>
      <c r="P19" s="96"/>
      <c r="Q19" s="106"/>
    </row>
    <row r="20" spans="1:17" ht="15.95" customHeight="1" thickTop="1" thickBot="1" x14ac:dyDescent="0.3">
      <c r="A20" s="109"/>
      <c r="B20" s="96"/>
      <c r="C20" s="96"/>
      <c r="D20" s="96"/>
      <c r="E20" s="96"/>
      <c r="F20" s="96"/>
      <c r="G20" s="96"/>
      <c r="H20" s="96"/>
      <c r="I20" s="96"/>
      <c r="J20" s="96"/>
      <c r="K20" s="96"/>
      <c r="L20" s="96"/>
      <c r="M20" s="96"/>
      <c r="N20" s="96"/>
      <c r="O20" s="96"/>
      <c r="P20" s="96"/>
      <c r="Q20" s="106"/>
    </row>
    <row r="21" spans="1:17" ht="15.95" customHeight="1" thickTop="1" thickBot="1" x14ac:dyDescent="0.3">
      <c r="A21" s="269" t="s">
        <v>14</v>
      </c>
      <c r="B21" s="275">
        <v>22</v>
      </c>
      <c r="C21" s="275">
        <v>22</v>
      </c>
      <c r="D21" s="275">
        <v>24</v>
      </c>
      <c r="E21" s="275">
        <v>24</v>
      </c>
      <c r="F21" s="279"/>
      <c r="G21" s="275">
        <v>22</v>
      </c>
      <c r="H21" s="275">
        <v>22</v>
      </c>
      <c r="I21" s="275">
        <v>24</v>
      </c>
      <c r="J21" s="275">
        <v>24</v>
      </c>
      <c r="K21" s="96"/>
      <c r="L21" s="96"/>
      <c r="M21" s="96"/>
      <c r="N21" s="96"/>
      <c r="O21" s="96"/>
      <c r="P21" s="96"/>
      <c r="Q21" s="106"/>
    </row>
    <row r="22" spans="1:17" ht="15.95" customHeight="1" thickTop="1" x14ac:dyDescent="0.25">
      <c r="A22" s="109"/>
      <c r="B22" s="96"/>
      <c r="C22" s="96"/>
      <c r="D22" s="96"/>
      <c r="E22" s="96"/>
      <c r="F22" s="96"/>
      <c r="G22" s="96"/>
      <c r="H22" s="96"/>
      <c r="I22" s="96"/>
      <c r="J22" s="96"/>
      <c r="K22" s="96"/>
      <c r="L22" s="96"/>
      <c r="M22" s="96"/>
      <c r="N22" s="96"/>
      <c r="O22" s="96"/>
      <c r="P22" s="96"/>
      <c r="Q22" s="106"/>
    </row>
    <row r="23" spans="1:17" ht="15.95" customHeight="1" thickBot="1" x14ac:dyDescent="0.3">
      <c r="A23" s="293" t="s">
        <v>15</v>
      </c>
      <c r="B23" s="294"/>
      <c r="C23" s="294"/>
      <c r="D23" s="294"/>
      <c r="E23" s="294"/>
      <c r="F23" s="294"/>
      <c r="G23" s="294"/>
      <c r="H23" s="294"/>
      <c r="I23" s="294"/>
      <c r="J23" s="295"/>
      <c r="K23" s="96"/>
      <c r="L23" s="96"/>
      <c r="M23" s="96"/>
      <c r="N23" s="96"/>
      <c r="O23" s="96"/>
      <c r="P23" s="96"/>
      <c r="Q23" s="106"/>
    </row>
    <row r="24" spans="1:17" ht="15.95" customHeight="1" thickTop="1" thickBot="1" x14ac:dyDescent="0.3">
      <c r="A24" s="269" t="s">
        <v>16</v>
      </c>
      <c r="B24" s="283">
        <v>80</v>
      </c>
      <c r="C24" s="284"/>
      <c r="D24" s="284"/>
      <c r="E24" s="285"/>
      <c r="F24" s="258"/>
      <c r="G24" s="283">
        <v>80</v>
      </c>
      <c r="H24" s="284"/>
      <c r="I24" s="284"/>
      <c r="J24" s="285"/>
      <c r="K24" s="96"/>
      <c r="L24" s="96"/>
      <c r="M24" s="96"/>
      <c r="N24" s="96"/>
      <c r="O24" s="96"/>
      <c r="P24" s="96"/>
      <c r="Q24" s="106"/>
    </row>
    <row r="25" spans="1:17" ht="15.95" customHeight="1" thickTop="1" thickBot="1" x14ac:dyDescent="0.3">
      <c r="A25" s="269" t="s">
        <v>17</v>
      </c>
      <c r="B25" s="283">
        <v>12</v>
      </c>
      <c r="C25" s="284"/>
      <c r="D25" s="284"/>
      <c r="E25" s="285"/>
      <c r="F25" s="96"/>
      <c r="G25" s="283">
        <v>12</v>
      </c>
      <c r="H25" s="284"/>
      <c r="I25" s="284"/>
      <c r="J25" s="285"/>
      <c r="K25" s="96"/>
      <c r="L25" s="96"/>
      <c r="M25" s="96"/>
      <c r="N25" s="96"/>
      <c r="O25" s="96"/>
      <c r="P25" s="96"/>
      <c r="Q25" s="106"/>
    </row>
    <row r="26" spans="1:17" ht="15.95" customHeight="1" thickTop="1" x14ac:dyDescent="0.25">
      <c r="A26" s="109"/>
      <c r="B26" s="96"/>
      <c r="C26" s="96"/>
      <c r="D26" s="96"/>
      <c r="E26" s="96"/>
      <c r="F26" s="96"/>
      <c r="G26" s="280"/>
      <c r="H26" s="280"/>
      <c r="I26" s="280"/>
      <c r="J26" s="280"/>
      <c r="K26" s="96"/>
      <c r="L26" s="96"/>
      <c r="M26" s="96"/>
      <c r="N26" s="96"/>
      <c r="O26" s="96"/>
      <c r="P26" s="96"/>
      <c r="Q26" s="106"/>
    </row>
    <row r="27" spans="1:17" ht="15.95" customHeight="1" x14ac:dyDescent="0.25">
      <c r="A27" s="132" t="s">
        <v>18</v>
      </c>
      <c r="B27" s="96"/>
      <c r="C27" s="96"/>
      <c r="D27" s="96"/>
      <c r="E27" s="96"/>
      <c r="F27" s="104"/>
      <c r="G27" s="96"/>
      <c r="H27" s="96"/>
      <c r="I27" s="96"/>
      <c r="J27" s="96"/>
      <c r="K27" s="96"/>
      <c r="L27" s="96"/>
      <c r="M27" s="96"/>
      <c r="N27" s="96"/>
      <c r="O27" s="96"/>
      <c r="P27" s="96"/>
      <c r="Q27" s="106"/>
    </row>
    <row r="28" spans="1:17" ht="15.95" customHeight="1" thickBot="1" x14ac:dyDescent="0.3">
      <c r="A28" s="109"/>
      <c r="B28" s="96"/>
      <c r="C28" s="96"/>
      <c r="D28" s="96"/>
      <c r="E28" s="96"/>
      <c r="F28" s="96"/>
      <c r="G28" s="96"/>
      <c r="H28" s="96"/>
      <c r="I28" s="96"/>
      <c r="J28" s="96"/>
      <c r="K28" s="96"/>
      <c r="L28" s="96"/>
      <c r="M28" s="96"/>
      <c r="N28" s="96"/>
      <c r="O28" s="96"/>
      <c r="P28" s="96"/>
      <c r="Q28" s="106"/>
    </row>
    <row r="29" spans="1:17" ht="15.95" customHeight="1" thickTop="1" thickBot="1" x14ac:dyDescent="0.3">
      <c r="A29" s="269" t="s">
        <v>259</v>
      </c>
      <c r="B29" s="275">
        <v>320</v>
      </c>
      <c r="C29" s="96"/>
      <c r="D29" s="96"/>
      <c r="E29" s="96"/>
      <c r="F29" s="96"/>
      <c r="G29" s="119"/>
      <c r="H29" s="96"/>
      <c r="I29" s="96"/>
      <c r="J29" s="96"/>
      <c r="K29" s="96"/>
      <c r="L29" s="96"/>
      <c r="M29" s="96"/>
      <c r="N29" s="96"/>
      <c r="O29" s="96"/>
      <c r="P29" s="96"/>
      <c r="Q29" s="106"/>
    </row>
    <row r="30" spans="1:17" ht="15.95" customHeight="1" thickTop="1" thickBot="1" x14ac:dyDescent="0.3">
      <c r="A30" s="272" t="s">
        <v>260</v>
      </c>
      <c r="B30" s="275">
        <v>24</v>
      </c>
      <c r="C30" s="96"/>
      <c r="D30" s="96"/>
      <c r="E30" s="96"/>
      <c r="F30" s="96"/>
      <c r="G30" s="96"/>
      <c r="H30" s="96"/>
      <c r="I30" s="96"/>
      <c r="J30" s="96"/>
      <c r="K30" s="96"/>
      <c r="L30" s="96"/>
      <c r="M30" s="96"/>
      <c r="N30" s="96"/>
      <c r="O30" s="96"/>
      <c r="P30" s="96"/>
      <c r="Q30" s="106"/>
    </row>
    <row r="31" spans="1:17" ht="32.1" customHeight="1" thickTop="1" x14ac:dyDescent="0.25">
      <c r="A31" s="273" t="s">
        <v>261</v>
      </c>
      <c r="B31" s="259">
        <f>B29*B30</f>
        <v>7680</v>
      </c>
      <c r="C31" s="96"/>
      <c r="D31" s="96"/>
      <c r="E31" s="96"/>
      <c r="F31" s="96"/>
      <c r="G31" s="96"/>
      <c r="H31" s="96"/>
      <c r="I31" s="96"/>
      <c r="J31" s="96"/>
      <c r="K31" s="96"/>
      <c r="L31" s="96"/>
      <c r="M31" s="96"/>
      <c r="N31" s="96"/>
      <c r="O31" s="96"/>
      <c r="P31" s="96"/>
      <c r="Q31" s="106"/>
    </row>
    <row r="32" spans="1:17" ht="15.75" thickBot="1" x14ac:dyDescent="0.3">
      <c r="A32" s="111"/>
      <c r="B32" s="112"/>
      <c r="C32" s="112"/>
      <c r="D32" s="112"/>
      <c r="E32" s="112"/>
      <c r="F32" s="112"/>
      <c r="G32" s="112"/>
      <c r="H32" s="112"/>
      <c r="I32" s="112"/>
      <c r="J32" s="112"/>
      <c r="K32" s="112"/>
      <c r="L32" s="112"/>
      <c r="M32" s="112"/>
      <c r="N32" s="112"/>
      <c r="O32" s="112"/>
      <c r="P32" s="112"/>
      <c r="Q32" s="113"/>
    </row>
    <row r="33" spans="6:8" ht="15.75" thickTop="1" x14ac:dyDescent="0.25"/>
    <row r="37" spans="6:8" x14ac:dyDescent="0.25">
      <c r="F37" s="31"/>
      <c r="H37" s="31"/>
    </row>
    <row r="38" spans="6:8" x14ac:dyDescent="0.25">
      <c r="F38" s="27"/>
      <c r="H38" s="31"/>
    </row>
    <row r="39" spans="6:8" x14ac:dyDescent="0.25">
      <c r="F39" s="27"/>
      <c r="H39" s="31"/>
    </row>
    <row r="40" spans="6:8" x14ac:dyDescent="0.25">
      <c r="F40" s="27"/>
      <c r="H40" s="27"/>
    </row>
    <row r="41" spans="6:8" x14ac:dyDescent="0.25">
      <c r="F41" s="27"/>
      <c r="H41" s="27"/>
    </row>
  </sheetData>
  <sheetProtection password="CB3B" sheet="1" objects="1" scenarios="1"/>
  <mergeCells count="23">
    <mergeCell ref="A1:E2"/>
    <mergeCell ref="A23:J23"/>
    <mergeCell ref="A16:J16"/>
    <mergeCell ref="B24:E24"/>
    <mergeCell ref="B25:E25"/>
    <mergeCell ref="G24:J24"/>
    <mergeCell ref="G25:J25"/>
    <mergeCell ref="B7:E7"/>
    <mergeCell ref="G7:J7"/>
    <mergeCell ref="B18:E18"/>
    <mergeCell ref="G18:J18"/>
    <mergeCell ref="B19:E19"/>
    <mergeCell ref="G19:J19"/>
    <mergeCell ref="B17:E17"/>
    <mergeCell ref="G17:J17"/>
    <mergeCell ref="G3:J3"/>
    <mergeCell ref="G4:J4"/>
    <mergeCell ref="G5:J5"/>
    <mergeCell ref="G6:J6"/>
    <mergeCell ref="B3:E3"/>
    <mergeCell ref="B4:E4"/>
    <mergeCell ref="B5:E5"/>
    <mergeCell ref="B6:E6"/>
  </mergeCells>
  <dataValidations count="4">
    <dataValidation type="list" allowBlank="1" showInputMessage="1" showErrorMessage="1" sqref="B30">
      <formula1>"8,12,16,24"</formula1>
    </dataValidation>
    <dataValidation type="list" allowBlank="1" showInputMessage="1" showErrorMessage="1" promptTitle="zu trocknen" prompt="0=Nein_x000a_1=Ja" sqref="B13:E13 G13:J13">
      <formula1>"0,1"</formula1>
    </dataValidation>
    <dataValidation type="list" allowBlank="1" showInputMessage="1" showErrorMessage="1" sqref="B7:E7 G7:J7">
      <formula1>"Schnittholz,Kantholz,Rohfries,unbesäumt"</formula1>
    </dataValidation>
    <dataValidation type="list" allowBlank="1" showInputMessage="1" showErrorMessage="1" sqref="B3:E3 G3:J3">
      <formula1>Holzart</formula1>
    </dataValidation>
  </dataValidation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Holzart">
          <x14:formula1>
            <xm:f>Datensammlung!$B$5:$B$52</xm:f>
          </x14:formula1>
          <xm:sqref>B3:E3 G3:J3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zoomScale="90" zoomScaleNormal="90" workbookViewId="0">
      <selection activeCell="P9" sqref="P9"/>
    </sheetView>
  </sheetViews>
  <sheetFormatPr baseColWidth="10" defaultRowHeight="15" x14ac:dyDescent="0.25"/>
  <cols>
    <col min="1" max="1" width="28.85546875" customWidth="1"/>
    <col min="2" max="2" width="2.7109375" style="95" customWidth="1"/>
    <col min="3" max="3" width="6.7109375" customWidth="1"/>
    <col min="6" max="6" width="11.42578125" customWidth="1"/>
    <col min="7" max="7" width="9.140625" customWidth="1"/>
    <col min="8" max="8" width="2.7109375" customWidth="1"/>
    <col min="9" max="9" width="5.7109375" customWidth="1"/>
    <col min="12" max="12" width="11.42578125" customWidth="1"/>
    <col min="13" max="13" width="8.5703125" customWidth="1"/>
    <col min="16" max="16" width="12.5703125" customWidth="1"/>
    <col min="17" max="17" width="4.28515625" customWidth="1"/>
    <col min="18" max="18" width="12.28515625" bestFit="1" customWidth="1"/>
  </cols>
  <sheetData>
    <row r="1" spans="1:18" s="76" customFormat="1" ht="15.95" customHeight="1" thickTop="1" x14ac:dyDescent="0.25">
      <c r="A1" s="308" t="s">
        <v>299</v>
      </c>
      <c r="B1" s="309"/>
      <c r="C1" s="309"/>
      <c r="D1" s="309"/>
      <c r="E1" s="309"/>
      <c r="F1" s="309"/>
      <c r="G1" s="309"/>
      <c r="H1" s="309"/>
      <c r="I1" s="309"/>
      <c r="J1" s="309"/>
      <c r="K1" s="309"/>
      <c r="L1" s="309"/>
      <c r="M1" s="309"/>
      <c r="N1" s="160"/>
    </row>
    <row r="2" spans="1:18" s="76" customFormat="1" ht="15.95" customHeight="1" x14ac:dyDescent="0.25">
      <c r="A2" s="310"/>
      <c r="B2" s="311"/>
      <c r="C2" s="311"/>
      <c r="D2" s="311"/>
      <c r="E2" s="311"/>
      <c r="F2" s="311"/>
      <c r="G2" s="311"/>
      <c r="H2" s="311"/>
      <c r="I2" s="311"/>
      <c r="J2" s="311"/>
      <c r="K2" s="311"/>
      <c r="L2" s="311"/>
      <c r="M2" s="311"/>
      <c r="N2" s="106"/>
    </row>
    <row r="3" spans="1:18" ht="15.95" customHeight="1" x14ac:dyDescent="0.25">
      <c r="A3" s="274" t="s">
        <v>22</v>
      </c>
      <c r="B3" s="133"/>
      <c r="C3" s="103"/>
      <c r="D3" s="318" t="s">
        <v>1</v>
      </c>
      <c r="E3" s="318"/>
      <c r="F3" s="318"/>
      <c r="G3" s="318"/>
      <c r="H3" s="103"/>
      <c r="I3" s="103"/>
      <c r="J3" s="318" t="s">
        <v>2</v>
      </c>
      <c r="K3" s="318"/>
      <c r="L3" s="318"/>
      <c r="M3" s="318"/>
      <c r="N3" s="106"/>
    </row>
    <row r="4" spans="1:18" ht="15.95" customHeight="1" x14ac:dyDescent="0.25">
      <c r="A4" s="274" t="s">
        <v>23</v>
      </c>
      <c r="B4" s="134"/>
      <c r="C4" s="96"/>
      <c r="D4" s="319">
        <f>Eingabe!B4</f>
        <v>30000</v>
      </c>
      <c r="E4" s="319"/>
      <c r="F4" s="319"/>
      <c r="G4" s="319"/>
      <c r="H4" s="96"/>
      <c r="I4" s="96"/>
      <c r="J4" s="319">
        <f>Eingabe!G4</f>
        <v>10000</v>
      </c>
      <c r="K4" s="319"/>
      <c r="L4" s="319"/>
      <c r="M4" s="319"/>
      <c r="N4" s="106"/>
      <c r="P4" s="44"/>
    </row>
    <row r="5" spans="1:18" ht="15.95" customHeight="1" x14ac:dyDescent="0.25">
      <c r="A5" s="274" t="s">
        <v>331</v>
      </c>
      <c r="B5" s="134"/>
      <c r="C5" s="96"/>
      <c r="D5" s="319">
        <f>Eingabe!B6</f>
        <v>15000</v>
      </c>
      <c r="E5" s="319"/>
      <c r="F5" s="319"/>
      <c r="G5" s="319"/>
      <c r="H5" s="96"/>
      <c r="I5" s="96"/>
      <c r="J5" s="319">
        <f>Eingabe!G6</f>
        <v>5000</v>
      </c>
      <c r="K5" s="319"/>
      <c r="L5" s="319"/>
      <c r="M5" s="319"/>
      <c r="N5" s="106"/>
      <c r="O5" s="44"/>
      <c r="P5" s="94"/>
      <c r="Q5" s="94"/>
      <c r="R5" s="44"/>
    </row>
    <row r="6" spans="1:18" ht="15.95" customHeight="1" x14ac:dyDescent="0.25">
      <c r="A6" s="274" t="s">
        <v>24</v>
      </c>
      <c r="B6" s="134"/>
      <c r="C6" s="96"/>
      <c r="D6" s="50">
        <f>Eingabe!B9</f>
        <v>24</v>
      </c>
      <c r="E6" s="50">
        <f>Eingabe!C9</f>
        <v>36</v>
      </c>
      <c r="F6" s="50">
        <f>Eingabe!D9</f>
        <v>59</v>
      </c>
      <c r="G6" s="50">
        <f>Eingabe!E9</f>
        <v>0</v>
      </c>
      <c r="H6" s="96"/>
      <c r="I6" s="96"/>
      <c r="J6" s="50">
        <f>Eingabe!G9</f>
        <v>24</v>
      </c>
      <c r="K6" s="50">
        <f>Eingabe!H9</f>
        <v>36</v>
      </c>
      <c r="L6" s="50">
        <f>Eingabe!I9</f>
        <v>59</v>
      </c>
      <c r="M6" s="50">
        <f>Eingabe!J9</f>
        <v>0</v>
      </c>
      <c r="N6" s="106"/>
      <c r="P6" s="47"/>
      <c r="Q6" s="1"/>
    </row>
    <row r="7" spans="1:18" ht="32.1" customHeight="1" x14ac:dyDescent="0.25">
      <c r="A7" s="274" t="s">
        <v>25</v>
      </c>
      <c r="B7" s="134"/>
      <c r="C7" s="96"/>
      <c r="D7" s="51">
        <f>Eingabe!B10</f>
        <v>0.33333333333333331</v>
      </c>
      <c r="E7" s="51">
        <f>Eingabe!C10</f>
        <v>0.33333333333333331</v>
      </c>
      <c r="F7" s="51">
        <f>Eingabe!D10</f>
        <v>0.33333333333333331</v>
      </c>
      <c r="G7" s="51">
        <f>Eingabe!E10</f>
        <v>0</v>
      </c>
      <c r="H7" s="145"/>
      <c r="I7" s="96"/>
      <c r="J7" s="51">
        <f>Eingabe!G10</f>
        <v>0.33333333333333331</v>
      </c>
      <c r="K7" s="51">
        <f>Eingabe!H10</f>
        <v>0.33333333333333331</v>
      </c>
      <c r="L7" s="51">
        <f>Eingabe!I10</f>
        <v>0.33333333333333331</v>
      </c>
      <c r="M7" s="51">
        <f>Eingabe!J10</f>
        <v>0</v>
      </c>
      <c r="N7" s="106"/>
      <c r="P7" s="48"/>
      <c r="Q7" s="49"/>
      <c r="R7" s="48"/>
    </row>
    <row r="8" spans="1:18" ht="15.95" customHeight="1" x14ac:dyDescent="0.25">
      <c r="A8" s="273" t="s">
        <v>26</v>
      </c>
      <c r="B8" s="135"/>
      <c r="C8" s="96"/>
      <c r="D8" s="52">
        <f>Eingabe!B11</f>
        <v>5000</v>
      </c>
      <c r="E8" s="52">
        <f>Eingabe!C11</f>
        <v>5000</v>
      </c>
      <c r="F8" s="52">
        <f>Eingabe!D11</f>
        <v>5000</v>
      </c>
      <c r="G8" s="52">
        <f>Eingabe!E11</f>
        <v>0</v>
      </c>
      <c r="H8" s="146"/>
      <c r="I8" s="96"/>
      <c r="J8" s="52">
        <f>Eingabe!G11</f>
        <v>1666.6666666666665</v>
      </c>
      <c r="K8" s="52">
        <f>Eingabe!H11</f>
        <v>1666.6666666666665</v>
      </c>
      <c r="L8" s="52">
        <f>Eingabe!I11</f>
        <v>1666.6666666666665</v>
      </c>
      <c r="M8" s="52">
        <f>Eingabe!J11</f>
        <v>0</v>
      </c>
      <c r="N8" s="106"/>
    </row>
    <row r="9" spans="1:18" ht="15.95" customHeight="1" x14ac:dyDescent="0.25">
      <c r="A9" s="274" t="s">
        <v>310</v>
      </c>
      <c r="B9" s="134"/>
      <c r="C9" s="96"/>
      <c r="D9" s="314">
        <f>Eingabe!B24</f>
        <v>80</v>
      </c>
      <c r="E9" s="314"/>
      <c r="F9" s="314"/>
      <c r="G9" s="314"/>
      <c r="H9" s="96"/>
      <c r="I9" s="96"/>
      <c r="J9" s="314">
        <f>Eingabe!G24</f>
        <v>80</v>
      </c>
      <c r="K9" s="314"/>
      <c r="L9" s="314"/>
      <c r="M9" s="314"/>
      <c r="N9" s="106"/>
    </row>
    <row r="10" spans="1:18" ht="15.95" customHeight="1" x14ac:dyDescent="0.25">
      <c r="A10" s="274" t="s">
        <v>311</v>
      </c>
      <c r="B10" s="134"/>
      <c r="C10" s="96"/>
      <c r="D10" s="314">
        <f>Eingabe!B25</f>
        <v>12</v>
      </c>
      <c r="E10" s="314"/>
      <c r="F10" s="314"/>
      <c r="G10" s="314"/>
      <c r="H10" s="96"/>
      <c r="I10" s="96"/>
      <c r="J10" s="314">
        <f>Eingabe!G25</f>
        <v>12</v>
      </c>
      <c r="K10" s="314"/>
      <c r="L10" s="314"/>
      <c r="M10" s="314"/>
      <c r="N10" s="106"/>
      <c r="P10" s="44"/>
    </row>
    <row r="11" spans="1:18" ht="15.95" customHeight="1" x14ac:dyDescent="0.25">
      <c r="A11" s="274" t="s">
        <v>312</v>
      </c>
      <c r="B11" s="134"/>
      <c r="C11" s="96"/>
      <c r="D11" s="314">
        <f>SUMIF(Datensammlung!B5:B52,Eingabe!B3,Datensammlung!F5:F52)</f>
        <v>34</v>
      </c>
      <c r="E11" s="314"/>
      <c r="F11" s="314"/>
      <c r="G11" s="314"/>
      <c r="H11" s="96"/>
      <c r="I11" s="96"/>
      <c r="J11" s="314">
        <f>SUMIF(Datensammlung!B5:B52,Eingabe!G3,Datensammlung!F5:F52)</f>
        <v>27</v>
      </c>
      <c r="K11" s="314"/>
      <c r="L11" s="314"/>
      <c r="M11" s="314"/>
      <c r="N11" s="106"/>
      <c r="P11" s="44"/>
      <c r="R11" s="44"/>
    </row>
    <row r="12" spans="1:18" ht="15.95" customHeight="1" x14ac:dyDescent="0.25">
      <c r="A12" s="274" t="s">
        <v>27</v>
      </c>
      <c r="B12" s="134"/>
      <c r="C12" s="96"/>
      <c r="D12" s="4">
        <f>IF(D6&lt;25,1,2)</f>
        <v>1</v>
      </c>
      <c r="E12" s="4">
        <f t="shared" ref="E12:G12" si="0">IF(E6&lt;25,1,2)</f>
        <v>2</v>
      </c>
      <c r="F12" s="4">
        <f t="shared" si="0"/>
        <v>2</v>
      </c>
      <c r="G12" s="4">
        <f t="shared" si="0"/>
        <v>1</v>
      </c>
      <c r="H12" s="147"/>
      <c r="I12" s="96"/>
      <c r="J12" s="4">
        <f>IF(J6&lt;25,1,2)</f>
        <v>1</v>
      </c>
      <c r="K12" s="4">
        <f>IF(K6&lt;25,1,2)</f>
        <v>2</v>
      </c>
      <c r="L12" s="4">
        <f>IF(L6&lt;25,1,2)</f>
        <v>2</v>
      </c>
      <c r="M12" s="4">
        <f>IF(M6&lt;25,1,2)</f>
        <v>1</v>
      </c>
      <c r="N12" s="106"/>
      <c r="P12" s="44"/>
      <c r="R12" s="14"/>
    </row>
    <row r="13" spans="1:18" ht="15.95" customHeight="1" x14ac:dyDescent="0.25">
      <c r="A13" s="274" t="s">
        <v>313</v>
      </c>
      <c r="B13" s="134"/>
      <c r="C13" s="96"/>
      <c r="D13" s="53">
        <f>(D6/25)^D12</f>
        <v>0.96</v>
      </c>
      <c r="E13" s="53">
        <f t="shared" ref="E13:G13" si="1">(E6/25)^E12</f>
        <v>2.0735999999999999</v>
      </c>
      <c r="F13" s="53">
        <f t="shared" si="1"/>
        <v>5.5695999999999994</v>
      </c>
      <c r="G13" s="53">
        <f t="shared" si="1"/>
        <v>0</v>
      </c>
      <c r="H13" s="148"/>
      <c r="I13" s="96"/>
      <c r="J13" s="53">
        <f>(J6/25)^J12</f>
        <v>0.96</v>
      </c>
      <c r="K13" s="53">
        <f>(K6/25)^K12</f>
        <v>2.0735999999999999</v>
      </c>
      <c r="L13" s="53">
        <f>(L6/25)^L12</f>
        <v>5.5695999999999994</v>
      </c>
      <c r="M13" s="53">
        <f>(M6/25)^M12</f>
        <v>0</v>
      </c>
      <c r="N13" s="106"/>
      <c r="P13" s="44"/>
    </row>
    <row r="14" spans="1:18" ht="15.95" customHeight="1" x14ac:dyDescent="0.25">
      <c r="A14" s="274" t="s">
        <v>314</v>
      </c>
      <c r="B14" s="137"/>
      <c r="C14" s="116"/>
      <c r="D14" s="5">
        <f>IF(Eingabe!B70="Schnittholz",1,IF(Eingabe!B7="Kantholz",0.9,IF(Eingabe!B7="Rohfries",0.7,IF(Eingabe!B7="unbesäumt",1.2,1))))</f>
        <v>1</v>
      </c>
      <c r="E14" s="5">
        <f>IF(Eingabe!B70="Schnittholz",1,IF(Eingabe!B7="Kantholz",0.9,IF(Eingabe!B7="Rohfries",0.7,IF(Eingabe!B7="unbesäumt",1.2,1))))</f>
        <v>1</v>
      </c>
      <c r="F14" s="5">
        <f>IF(Eingabe!B70="Schnittholz",1,IF(Eingabe!B7="Kantholz",0.9,IF(Eingabe!B7="Rohfries",0.7,IF(Eingabe!B7="unbesäumt",1.2,1))))</f>
        <v>1</v>
      </c>
      <c r="G14" s="5">
        <f>IF(Eingabe!B70="Schnittholz",1,IF(Eingabe!B7="Kantholz",0.9,IF(Eingabe!B7="Rohfries",0.7,IF(Eingabe!B7="unbesäumt",1.2,1))))</f>
        <v>1</v>
      </c>
      <c r="H14" s="96"/>
      <c r="I14" s="96"/>
      <c r="J14" s="5">
        <f>IF(Eingabe!G7="Schnittholz",1,IF(Eingabe!G7="Kantholz",0.9,IF(Eingabe!G7="Rohfries",0.7,IF(Eingabe!G7="unbesäumt",1.2,1))))</f>
        <v>1</v>
      </c>
      <c r="K14" s="5">
        <f>IF(Eingabe!G7="Schnittholz",1,IF(Eingabe!G7="Kantholz",0.9,IF(Eingabe!G7="Rohfries",0.7,IF(Eingabe!G7="unbesäumt",1.2,1))))</f>
        <v>1</v>
      </c>
      <c r="L14" s="5">
        <f>IF(Eingabe!G7="Schnittholz",1,IF(Eingabe!G7="Kantholz",0.9,IF(Eingabe!G7="Rohfries",0.7,IF(Eingabe!G7="unbesäumt",1.2,1))))</f>
        <v>1</v>
      </c>
      <c r="M14" s="5">
        <f>IF(Eingabe!G7="Schnittholz",1,IF(Eingabe!G7="Kantholz",0.9,IF(Eingabe!G7="Rohfries",0.7,IF(Eingabe!G7="unbesäumt",1.2,1))))</f>
        <v>1</v>
      </c>
      <c r="N14" s="106"/>
      <c r="P14" s="44"/>
    </row>
    <row r="15" spans="1:18" ht="15.95" customHeight="1" x14ac:dyDescent="0.25">
      <c r="A15" s="274" t="s">
        <v>315</v>
      </c>
      <c r="B15" s="136"/>
      <c r="C15" s="75">
        <f>SUMIF(Datensammlung!B5:B42,Eingabe!B3,Datensammlung!C5:C42)</f>
        <v>680</v>
      </c>
      <c r="D15" s="4">
        <f>IF(C15=0,1,IF(C15&lt;=250,15,IF(C15&lt;650,20,40)))</f>
        <v>40</v>
      </c>
      <c r="E15" s="4">
        <f>IF(C15=0,1,IF(C15&lt;=250,15,IF(C15&lt;650,20,40)))</f>
        <v>40</v>
      </c>
      <c r="F15" s="4">
        <f>IF(C15=0,1,IF(C15&lt;=250,15,IF(C15&lt;650,20,40)))</f>
        <v>40</v>
      </c>
      <c r="G15" s="4">
        <f>IF(C15=0,1,IF(C15&lt;=250,15,IF(C15&lt;650,20,40)))</f>
        <v>40</v>
      </c>
      <c r="H15" s="96"/>
      <c r="I15" s="57">
        <f>SUMIF(Datensammlung!B5:B42,Eingabe!G3,Datensammlung!C5:C42)</f>
        <v>660</v>
      </c>
      <c r="J15" s="4">
        <f>IF(I15=0,1,IF(I15&lt;=250,15,IF(I15&lt;650,20,40)))</f>
        <v>40</v>
      </c>
      <c r="K15" s="4">
        <f>IF(I15=0,1,IF(I15&lt;=250,15,IF(I15&lt;650,20,40)))</f>
        <v>40</v>
      </c>
      <c r="L15" s="4">
        <f>IF(I15=0,1,IF(I15&lt;=250,15,IF(I15&lt;650,20,40)))</f>
        <v>40</v>
      </c>
      <c r="M15" s="4">
        <f>IF(I15=0,1,IF(I15&lt;=250,15,IF(I15&lt;650,20,40)))</f>
        <v>40</v>
      </c>
      <c r="N15" s="106"/>
      <c r="P15" s="44"/>
    </row>
    <row r="16" spans="1:18" s="2" customFormat="1" ht="15.95" customHeight="1" x14ac:dyDescent="0.25">
      <c r="A16" s="274" t="s">
        <v>315</v>
      </c>
      <c r="B16" s="138"/>
      <c r="C16" s="57">
        <f>SUMIF(Datensammlung!B43:B52,Eingabe!B3,Datensammlung!C43:C52)</f>
        <v>0</v>
      </c>
      <c r="D16" s="4">
        <f>IF($C16=0,1,19)</f>
        <v>1</v>
      </c>
      <c r="E16" s="4">
        <f t="shared" ref="E16:G16" si="2">IF($C16=0,1,19)</f>
        <v>1</v>
      </c>
      <c r="F16" s="4">
        <f t="shared" si="2"/>
        <v>1</v>
      </c>
      <c r="G16" s="4">
        <f t="shared" si="2"/>
        <v>1</v>
      </c>
      <c r="H16" s="96"/>
      <c r="I16" s="57">
        <f>SUMIF(Datensammlung!B43:B52,Eingabe!G3,Datensammlung!C43:C52)</f>
        <v>0</v>
      </c>
      <c r="J16" s="4">
        <f>IF($I16=0,1,19)</f>
        <v>1</v>
      </c>
      <c r="K16" s="4">
        <f t="shared" ref="K16:M16" si="3">IF($I16=0,1,19)</f>
        <v>1</v>
      </c>
      <c r="L16" s="4">
        <f t="shared" si="3"/>
        <v>1</v>
      </c>
      <c r="M16" s="4">
        <f t="shared" si="3"/>
        <v>1</v>
      </c>
      <c r="N16" s="106"/>
    </row>
    <row r="17" spans="1:18" ht="15.95" customHeight="1" x14ac:dyDescent="0.25">
      <c r="A17" s="274" t="s">
        <v>316</v>
      </c>
      <c r="B17" s="137"/>
      <c r="C17" s="96"/>
      <c r="D17" s="4">
        <f>IF(D6=0,0,SUMIF(Datensammlung!$B5:$B52,Eingabe!$B3,Datensammlung!$D5:$D52)+IF(D6&lt;40,IF(SUMIF(Datensammlung!$B5:$B52,Eingabe!$B3,Datensammlung!$I5:$I52)&lt;8,5,0),0))</f>
        <v>50</v>
      </c>
      <c r="E17" s="4">
        <f>IF(E6=0,0,SUMIF(Datensammlung!$B5:$B52,Eingabe!$B3,Datensammlung!$D5:$D52)+IF(E6&lt;40,IF(SUMIF(Datensammlung!$B5:$B52,Eingabe!$B3,Datensammlung!$I5:$I52)&lt;8,5,0),0))</f>
        <v>50</v>
      </c>
      <c r="F17" s="4">
        <f>IF(F6=0,0,SUMIF(Datensammlung!$B5:$B52,Eingabe!$B3,Datensammlung!$D5:$D52)+IF(F6&lt;40,IF(SUMIF(Datensammlung!$B5:$B52,Eingabe!$B3,Datensammlung!$I5:$I52)&lt;8,5,0),0))</f>
        <v>45</v>
      </c>
      <c r="G17" s="4">
        <f>IF(G6=0,0,SUMIF(Datensammlung!$B5:$B52,Eingabe!$B3,Datensammlung!$D5:$D52)+IF(G6&lt;40,IF(SUMIF(Datensammlung!$B5:$B52,Eingabe!$B3,Datensammlung!$I5:$I52)&lt;8,5,0),0))</f>
        <v>0</v>
      </c>
      <c r="H17" s="147"/>
      <c r="I17" s="147"/>
      <c r="J17" s="4">
        <f>IF(J6=0,0,SUMIF(Datensammlung!$B5:$B52,Eingabe!$G3,Datensammlung!$D5:$D52)+IF(J6&lt;40,IF(SUMIF(Datensammlung!$B5:$B52,Eingabe!$G3,Datensammlung!$I5:$I52)&lt;8,5,0),0))</f>
        <v>30</v>
      </c>
      <c r="K17" s="4">
        <f>IF(K6=0,0,SUMIF(Datensammlung!$B5:$B52,Eingabe!$G3,Datensammlung!$D5:$D52)+IF(K6&lt;40,IF(SUMIF(Datensammlung!$B5:$B52,Eingabe!$G3,Datensammlung!$I5:$I52)&lt;8,5,0),0))</f>
        <v>30</v>
      </c>
      <c r="L17" s="4">
        <f>IF(L6=0,0,SUMIF(Datensammlung!$B5:$B52,Eingabe!$G3,Datensammlung!$D5:$D52)+IF(L6&lt;40,IF(SUMIF(Datensammlung!$B5:$B52,Eingabe!$G3,Datensammlung!$I5:$I52)&lt;8,5,0),0))</f>
        <v>30</v>
      </c>
      <c r="M17" s="4">
        <f>IF(M6=0,0,SUMIF(Datensammlung!$B5:$B52,Eingabe!$G3,Datensammlung!$D5:$D52)+IF(M6&lt;40,IF(SUMIF(Datensammlung!$B5:$B52,Eingabe!$G3,Datensammlung!$I5:$I52)&lt;8,5,0),0))</f>
        <v>0</v>
      </c>
      <c r="N17" s="106"/>
    </row>
    <row r="18" spans="1:18" ht="15.95" customHeight="1" x14ac:dyDescent="0.25">
      <c r="A18" s="274" t="s">
        <v>317</v>
      </c>
      <c r="B18" s="134"/>
      <c r="C18" s="96"/>
      <c r="D18" s="4">
        <f>IF(D6=0,0,SUMIF(Datensammlung!$B5:$B52,Eingabe!$B3,Datensammlung!$G5:$G52))</f>
        <v>75</v>
      </c>
      <c r="E18" s="4">
        <f>IF(E6=0,0,SUMIF(Datensammlung!$B5:$B52,Eingabe!$B3,Datensammlung!$G5:$G52))</f>
        <v>75</v>
      </c>
      <c r="F18" s="4">
        <f>IF(F6=0,0,SUMIF(Datensammlung!$B5:$B52,Eingabe!$B3,Datensammlung!$G5:$G52))</f>
        <v>75</v>
      </c>
      <c r="G18" s="4">
        <f>IF(G6=0,0,SUMIF(Datensammlung!$B5:$B52,Eingabe!$B3,Datensammlung!$G5:$G52))</f>
        <v>0</v>
      </c>
      <c r="H18" s="147"/>
      <c r="I18" s="147"/>
      <c r="J18" s="4">
        <f>IF(J6=0,0,SUMIF(Datensammlung!$B5:$B52,Eingabe!$G3,Datensammlung!$G5:$G52))</f>
        <v>70</v>
      </c>
      <c r="K18" s="4">
        <f>IF(K6=0,0,SUMIF(Datensammlung!$B5:$B52,Eingabe!$G3,Datensammlung!$G5:$G52))</f>
        <v>70</v>
      </c>
      <c r="L18" s="4">
        <f>IF(L6=0,0,SUMIF(Datensammlung!$B5:$B52,Eingabe!$G3,Datensammlung!$G5:$G52))</f>
        <v>70</v>
      </c>
      <c r="M18" s="4">
        <f>IF(M6=0,0,SUMIF(Datensammlung!$B5:$B52,Eingabe!$G3,Datensammlung!$G5:$G52))</f>
        <v>0</v>
      </c>
      <c r="N18" s="106"/>
      <c r="P18" s="44"/>
    </row>
    <row r="19" spans="1:18" ht="15.95" customHeight="1" x14ac:dyDescent="0.25">
      <c r="A19" s="274" t="s">
        <v>318</v>
      </c>
      <c r="B19" s="134"/>
      <c r="C19" s="96"/>
      <c r="D19" s="53">
        <f>((150-D17)/D17)^1.5</f>
        <v>2.8284271247461898</v>
      </c>
      <c r="E19" s="53">
        <f t="shared" ref="E19:M19" si="4">((150-E17)/E17)^1.5</f>
        <v>2.8284271247461898</v>
      </c>
      <c r="F19" s="53">
        <f t="shared" si="4"/>
        <v>3.5642255405212095</v>
      </c>
      <c r="G19" s="53" t="e">
        <f t="shared" si="4"/>
        <v>#DIV/0!</v>
      </c>
      <c r="H19" s="148"/>
      <c r="I19" s="148"/>
      <c r="J19" s="53">
        <f t="shared" si="4"/>
        <v>7.9999999999999982</v>
      </c>
      <c r="K19" s="53">
        <f t="shared" si="4"/>
        <v>7.9999999999999982</v>
      </c>
      <c r="L19" s="53">
        <f t="shared" si="4"/>
        <v>7.9999999999999982</v>
      </c>
      <c r="M19" s="53" t="e">
        <f t="shared" si="4"/>
        <v>#DIV/0!</v>
      </c>
      <c r="N19" s="106"/>
      <c r="P19" s="44"/>
      <c r="R19" s="44"/>
    </row>
    <row r="20" spans="1:18" ht="15.95" customHeight="1" x14ac:dyDescent="0.25">
      <c r="A20" s="274" t="s">
        <v>319</v>
      </c>
      <c r="B20" s="134"/>
      <c r="C20" s="96"/>
      <c r="D20" s="53">
        <f>((150-D18)/D18)^1.5</f>
        <v>1</v>
      </c>
      <c r="E20" s="53">
        <f t="shared" ref="E20:M20" si="5">((150-E18)/E18)^1.5</f>
        <v>1</v>
      </c>
      <c r="F20" s="53">
        <f t="shared" si="5"/>
        <v>1</v>
      </c>
      <c r="G20" s="53" t="e">
        <f t="shared" si="5"/>
        <v>#DIV/0!</v>
      </c>
      <c r="H20" s="148"/>
      <c r="I20" s="148"/>
      <c r="J20" s="53">
        <f t="shared" si="5"/>
        <v>1.22176567731394</v>
      </c>
      <c r="K20" s="53">
        <f t="shared" si="5"/>
        <v>1.22176567731394</v>
      </c>
      <c r="L20" s="53">
        <f t="shared" si="5"/>
        <v>1.22176567731394</v>
      </c>
      <c r="M20" s="53" t="e">
        <f t="shared" si="5"/>
        <v>#DIV/0!</v>
      </c>
      <c r="N20" s="106"/>
      <c r="P20" s="44"/>
    </row>
    <row r="21" spans="1:18" ht="15.95" customHeight="1" x14ac:dyDescent="0.25">
      <c r="A21" s="274" t="s">
        <v>28</v>
      </c>
      <c r="B21" s="134"/>
      <c r="C21" s="96"/>
      <c r="D21" s="5">
        <f>SUMIF(Datensammlung!$B5:$B52,Eingabe!$B3,Datensammlung!$H5:$H52)</f>
        <v>2</v>
      </c>
      <c r="E21" s="5">
        <f>SUMIF(Datensammlung!$B5:$B52,Eingabe!$B3,Datensammlung!$H5:$H52)</f>
        <v>2</v>
      </c>
      <c r="F21" s="5">
        <f>SUMIF(Datensammlung!$B5:$B52,Eingabe!$B3,Datensammlung!$H5:$H52)</f>
        <v>2</v>
      </c>
      <c r="G21" s="5">
        <f>SUMIF(Datensammlung!$B5:$B52,Eingabe!$B3,Datensammlung!$H5:$H52)</f>
        <v>2</v>
      </c>
      <c r="H21" s="149"/>
      <c r="I21" s="149"/>
      <c r="J21" s="5">
        <f>SUMIF(Datensammlung!$B5:$B52,Eingabe!$G3,Datensammlung!$H5:$H52)</f>
        <v>1.5</v>
      </c>
      <c r="K21" s="5">
        <f>SUMIF(Datensammlung!$B5:$B52,Eingabe!$G3,Datensammlung!$H5:$H52)</f>
        <v>1.5</v>
      </c>
      <c r="L21" s="5">
        <f>SUMIF(Datensammlung!$B5:$B52,Eingabe!$G3,Datensammlung!$H5:$H52)</f>
        <v>1.5</v>
      </c>
      <c r="M21" s="5">
        <f>SUMIF(Datensammlung!$B5:$B52,Eingabe!$G3,Datensammlung!$H5:$H52)</f>
        <v>1.5</v>
      </c>
      <c r="N21" s="106"/>
      <c r="P21" s="44"/>
    </row>
    <row r="22" spans="1:18" ht="15.95" customHeight="1" x14ac:dyDescent="0.25">
      <c r="A22" s="274" t="s">
        <v>320</v>
      </c>
      <c r="B22" s="134"/>
      <c r="C22" s="96"/>
      <c r="D22" s="5">
        <f>IF((3/D21)&gt;1,3/D21,1)</f>
        <v>1.5</v>
      </c>
      <c r="E22" s="5">
        <f t="shared" ref="E22:M22" si="6">IF((3/E21)&gt;1,3/E21,1)</f>
        <v>1.5</v>
      </c>
      <c r="F22" s="5">
        <f t="shared" si="6"/>
        <v>1.5</v>
      </c>
      <c r="G22" s="5">
        <f t="shared" si="6"/>
        <v>1.5</v>
      </c>
      <c r="H22" s="149"/>
      <c r="I22" s="149"/>
      <c r="J22" s="5">
        <f t="shared" si="6"/>
        <v>2</v>
      </c>
      <c r="K22" s="5">
        <f t="shared" si="6"/>
        <v>2</v>
      </c>
      <c r="L22" s="5">
        <f t="shared" si="6"/>
        <v>2</v>
      </c>
      <c r="M22" s="5">
        <f t="shared" si="6"/>
        <v>2</v>
      </c>
      <c r="N22" s="106"/>
      <c r="P22" s="44"/>
    </row>
    <row r="23" spans="1:18" ht="32.1" customHeight="1" x14ac:dyDescent="0.25">
      <c r="A23" s="274" t="s">
        <v>321</v>
      </c>
      <c r="B23" s="134"/>
      <c r="C23" s="96"/>
      <c r="D23" s="10">
        <f>IF(Eingabe!B30=8,1.35,IF(Eingabe!B30=12,1.26,IF(Eingabe!B30=16,1.17,IF(Eingabe!B30=24,1,1))))</f>
        <v>1</v>
      </c>
      <c r="E23" s="10">
        <f>IF(Eingabe!B30=8,1.35,IF(Eingabe!B30=12,1.26,IF(Eingabe!B30=16,1.17,IF(Eingabe!B30=24,1,1))))</f>
        <v>1</v>
      </c>
      <c r="F23" s="10">
        <f>IF(Eingabe!B30=8,1.35,IF(Eingabe!B30=12,1.26,IF(Eingabe!B30=16,1.17,IF(Eingabe!B30=24,1,1))))</f>
        <v>1</v>
      </c>
      <c r="G23" s="10">
        <f>IF(Eingabe!B30=8,1.35,IF(Eingabe!B30=12,1.26,IF(Eingabe!B30=16,1.17,IF(Eingabe!B30=24,1,1))))</f>
        <v>1</v>
      </c>
      <c r="H23" s="96"/>
      <c r="I23" s="96"/>
      <c r="J23" s="10">
        <f>IF(Eingabe!B30=8,1.35,IF(Eingabe!B30=12,1.26,IF(Eingabe!B30=16,1.17,IF(Eingabe!B30=24,1,1))))</f>
        <v>1</v>
      </c>
      <c r="K23" s="10">
        <f>IF(Eingabe!B30=8,1.35,IF(Eingabe!B30=12,1.26,IF(Eingabe!B30=16,1.17,IF(Eingabe!B30=24,1,1))))</f>
        <v>1</v>
      </c>
      <c r="L23" s="10">
        <f>IF(Eingabe!B30=8,1.35,IF(Eingabe!B30=12,1.26,IF(Eingabe!B30=16,1.17,IF(Eingabe!B30=24,1,1))))</f>
        <v>1</v>
      </c>
      <c r="M23" s="10">
        <f>IF(Eingabe!B30=8,1.35,IF(Eingabe!B30=12,1.26,IF(Eingabe!B30=16,1.17,IF(Eingabe!B30=24,1,1))))</f>
        <v>1</v>
      </c>
      <c r="N23" s="106"/>
    </row>
    <row r="24" spans="1:18" ht="32.1" customHeight="1" x14ac:dyDescent="0.25">
      <c r="A24" s="274" t="s">
        <v>322</v>
      </c>
      <c r="B24" s="134"/>
      <c r="C24" s="96"/>
      <c r="D24" s="6">
        <f>LN($D9/$D11)*D13*D14*D15*D16*D19*D23</f>
        <v>92.935266639871287</v>
      </c>
      <c r="E24" s="6">
        <f t="shared" ref="E24:G24" si="7">LN($D9/$D11)*E13*E14*E15*E16*E19*E23</f>
        <v>200.74017594212197</v>
      </c>
      <c r="F24" s="6">
        <f t="shared" si="7"/>
        <v>679.4437478158502</v>
      </c>
      <c r="G24" s="6" t="e">
        <f t="shared" si="7"/>
        <v>#DIV/0!</v>
      </c>
      <c r="H24" s="96"/>
      <c r="I24" s="96"/>
      <c r="J24" s="6">
        <f>LN($J9/$J11)*J13*J14*J15*J16*J19*J23</f>
        <v>333.67749693528646</v>
      </c>
      <c r="K24" s="6">
        <f t="shared" ref="K24:M24" si="8">LN($J9/$J11)*K13*K14*K15*K16*K19*K23</f>
        <v>720.74339338021878</v>
      </c>
      <c r="L24" s="6">
        <f t="shared" si="8"/>
        <v>1935.88561138622</v>
      </c>
      <c r="M24" s="6" t="e">
        <f t="shared" si="8"/>
        <v>#DIV/0!</v>
      </c>
      <c r="N24" s="106"/>
    </row>
    <row r="25" spans="1:18" ht="32.1" customHeight="1" x14ac:dyDescent="0.25">
      <c r="A25" s="274" t="s">
        <v>323</v>
      </c>
      <c r="B25" s="134"/>
      <c r="C25" s="96"/>
      <c r="D25" s="6">
        <f>LN($D11/$D10)*D13*D14*D15*D16*D20*D22*D23</f>
        <v>59.98774319010208</v>
      </c>
      <c r="E25" s="6">
        <f t="shared" ref="E25:G25" si="9">LN($D11/$D10)*E13*E14*E15*E16*E20*E22*E23</f>
        <v>129.57352529062047</v>
      </c>
      <c r="F25" s="6">
        <f t="shared" si="9"/>
        <v>348.02889007457554</v>
      </c>
      <c r="G25" s="6" t="e">
        <f t="shared" si="9"/>
        <v>#DIV/0!</v>
      </c>
      <c r="H25" s="128"/>
      <c r="I25" s="96"/>
      <c r="J25" s="6">
        <f>LN($J11/$J10)*J13*J14*J15*J16*J20*J22*J23</f>
        <v>76.090882934006984</v>
      </c>
      <c r="K25" s="6">
        <f t="shared" ref="K25:L25" si="10">LN($J11/$J10)*K13*K14*K15*K16*K20*K22*K23</f>
        <v>164.35630713745508</v>
      </c>
      <c r="L25" s="6">
        <f t="shared" si="10"/>
        <v>441.45393915546396</v>
      </c>
      <c r="M25" s="6" t="e">
        <f t="shared" ref="M25" si="11">LN($J11/$J10)*M13*M14*M15*M16*M19*M22*M23</f>
        <v>#DIV/0!</v>
      </c>
      <c r="N25" s="106"/>
    </row>
    <row r="26" spans="1:18" ht="15.95" customHeight="1" x14ac:dyDescent="0.25">
      <c r="A26" s="274" t="s">
        <v>324</v>
      </c>
      <c r="B26" s="134"/>
      <c r="C26" s="96"/>
      <c r="D26" s="3">
        <f>2.5*D6/10</f>
        <v>6</v>
      </c>
      <c r="E26" s="3">
        <f t="shared" ref="E26:M26" si="12">2.5*E6/10</f>
        <v>9</v>
      </c>
      <c r="F26" s="3">
        <f t="shared" si="12"/>
        <v>14.75</v>
      </c>
      <c r="G26" s="3">
        <f t="shared" si="12"/>
        <v>0</v>
      </c>
      <c r="H26" s="150"/>
      <c r="I26" s="151"/>
      <c r="J26" s="3">
        <f t="shared" si="12"/>
        <v>6</v>
      </c>
      <c r="K26" s="3">
        <f t="shared" si="12"/>
        <v>9</v>
      </c>
      <c r="L26" s="3">
        <f t="shared" si="12"/>
        <v>14.75</v>
      </c>
      <c r="M26" s="3">
        <f t="shared" si="12"/>
        <v>0</v>
      </c>
      <c r="N26" s="106"/>
    </row>
    <row r="27" spans="1:18" ht="15.95" customHeight="1" x14ac:dyDescent="0.25">
      <c r="A27" s="274" t="s">
        <v>325</v>
      </c>
      <c r="B27" s="134"/>
      <c r="C27" s="96"/>
      <c r="D27" s="3">
        <f>D26</f>
        <v>6</v>
      </c>
      <c r="E27" s="3">
        <f t="shared" ref="E27:M27" si="13">E26</f>
        <v>9</v>
      </c>
      <c r="F27" s="3">
        <f t="shared" si="13"/>
        <v>14.75</v>
      </c>
      <c r="G27" s="3">
        <f t="shared" si="13"/>
        <v>0</v>
      </c>
      <c r="H27" s="150"/>
      <c r="I27" s="151"/>
      <c r="J27" s="3">
        <f t="shared" si="13"/>
        <v>6</v>
      </c>
      <c r="K27" s="3">
        <f t="shared" si="13"/>
        <v>9</v>
      </c>
      <c r="L27" s="3">
        <f t="shared" si="13"/>
        <v>14.75</v>
      </c>
      <c r="M27" s="3">
        <f t="shared" si="13"/>
        <v>0</v>
      </c>
      <c r="N27" s="106"/>
    </row>
    <row r="28" spans="1:18" ht="15.95" customHeight="1" x14ac:dyDescent="0.25">
      <c r="A28" s="274" t="s">
        <v>326</v>
      </c>
      <c r="B28" s="134"/>
      <c r="C28" s="96"/>
      <c r="D28" s="54">
        <f>(D24+D25)*0.1</f>
        <v>15.292300982997336</v>
      </c>
      <c r="E28" s="54">
        <f t="shared" ref="E28:M28" si="14">(E24+E25)*0.1</f>
        <v>33.03137012327425</v>
      </c>
      <c r="F28" s="54">
        <f t="shared" si="14"/>
        <v>102.74726378904256</v>
      </c>
      <c r="G28" s="54" t="e">
        <f t="shared" si="14"/>
        <v>#DIV/0!</v>
      </c>
      <c r="H28" s="152"/>
      <c r="I28" s="153"/>
      <c r="J28" s="54">
        <f t="shared" si="14"/>
        <v>40.976837986929347</v>
      </c>
      <c r="K28" s="54">
        <f t="shared" si="14"/>
        <v>88.509970051767397</v>
      </c>
      <c r="L28" s="54">
        <f t="shared" si="14"/>
        <v>237.7339550541684</v>
      </c>
      <c r="M28" s="54" t="e">
        <f t="shared" si="14"/>
        <v>#DIV/0!</v>
      </c>
      <c r="N28" s="106"/>
    </row>
    <row r="29" spans="1:18" ht="15.95" customHeight="1" x14ac:dyDescent="0.25">
      <c r="A29" s="273" t="s">
        <v>327</v>
      </c>
      <c r="B29" s="135"/>
      <c r="C29" s="96"/>
      <c r="D29" s="55">
        <f>5/60*Eingabe!$P4</f>
        <v>5</v>
      </c>
      <c r="E29" s="55">
        <f>5/60*Eingabe!$P4</f>
        <v>5</v>
      </c>
      <c r="F29" s="55">
        <f>5/60*Eingabe!$P4</f>
        <v>5</v>
      </c>
      <c r="G29" s="55">
        <f>5/60*Eingabe!$P4</f>
        <v>5</v>
      </c>
      <c r="H29" s="154"/>
      <c r="I29" s="155"/>
      <c r="J29" s="55">
        <f>5/60*Eingabe!$P4</f>
        <v>5</v>
      </c>
      <c r="K29" s="55">
        <f>5/60*Eingabe!$P4</f>
        <v>5</v>
      </c>
      <c r="L29" s="55">
        <f>5/60*Eingabe!$P4</f>
        <v>5</v>
      </c>
      <c r="M29" s="55">
        <f>5/60*Eingabe!$P4</f>
        <v>5</v>
      </c>
      <c r="N29" s="106"/>
    </row>
    <row r="30" spans="1:18" ht="15.95" customHeight="1" x14ac:dyDescent="0.25">
      <c r="A30" s="161" t="s">
        <v>29</v>
      </c>
      <c r="B30" s="134"/>
      <c r="C30" s="96"/>
      <c r="D30" s="56">
        <f>D24+D25+D26+D27+D28</f>
        <v>180.2153108129707</v>
      </c>
      <c r="E30" s="56">
        <f t="shared" ref="E30:L30" si="15">E24+E25+E26+E27+E28</f>
        <v>381.34507135601672</v>
      </c>
      <c r="F30" s="56">
        <f t="shared" si="15"/>
        <v>1159.7199016794682</v>
      </c>
      <c r="G30" s="56">
        <f>IF(Eingabe!E9=0,0,G24+G25+G26+G27+G28)</f>
        <v>0</v>
      </c>
      <c r="H30" s="144"/>
      <c r="I30" s="155"/>
      <c r="J30" s="56">
        <f t="shared" si="15"/>
        <v>462.74521785622278</v>
      </c>
      <c r="K30" s="56">
        <f t="shared" si="15"/>
        <v>991.60967056944128</v>
      </c>
      <c r="L30" s="56">
        <f t="shared" si="15"/>
        <v>2644.5735055958521</v>
      </c>
      <c r="M30" s="56">
        <f>IF(Eingabe!J9=0,0,M24+M25+M26+M27+M28)</f>
        <v>0</v>
      </c>
      <c r="N30" s="106"/>
    </row>
    <row r="31" spans="1:18" ht="15.95" customHeight="1" x14ac:dyDescent="0.25">
      <c r="A31" s="161" t="s">
        <v>30</v>
      </c>
      <c r="B31" s="134"/>
      <c r="C31" s="96"/>
      <c r="D31" s="56">
        <f>D30/24</f>
        <v>7.5089712838737794</v>
      </c>
      <c r="E31" s="56">
        <f t="shared" ref="E31:M31" si="16">E30/24</f>
        <v>15.889377973167363</v>
      </c>
      <c r="F31" s="56">
        <f t="shared" si="16"/>
        <v>48.321662569977839</v>
      </c>
      <c r="G31" s="56">
        <f t="shared" si="16"/>
        <v>0</v>
      </c>
      <c r="H31" s="144"/>
      <c r="I31" s="144"/>
      <c r="J31" s="56">
        <f t="shared" si="16"/>
        <v>19.281050744009281</v>
      </c>
      <c r="K31" s="56">
        <f t="shared" si="16"/>
        <v>41.317069607060056</v>
      </c>
      <c r="L31" s="56">
        <f t="shared" si="16"/>
        <v>110.1905627331605</v>
      </c>
      <c r="M31" s="56">
        <f t="shared" si="16"/>
        <v>0</v>
      </c>
      <c r="N31" s="106"/>
    </row>
    <row r="32" spans="1:18" ht="15.95" customHeight="1" x14ac:dyDescent="0.25">
      <c r="A32" s="162"/>
      <c r="B32" s="96"/>
      <c r="C32" s="96"/>
      <c r="D32" s="118"/>
      <c r="E32" s="118"/>
      <c r="F32" s="118"/>
      <c r="G32" s="118"/>
      <c r="H32" s="96"/>
      <c r="I32" s="96"/>
      <c r="J32" s="118"/>
      <c r="K32" s="118"/>
      <c r="L32" s="118"/>
      <c r="M32" s="139"/>
      <c r="N32" s="106"/>
    </row>
    <row r="33" spans="1:14" ht="15.95" customHeight="1" x14ac:dyDescent="0.25">
      <c r="A33" s="163" t="s">
        <v>31</v>
      </c>
      <c r="B33" s="159"/>
      <c r="C33" s="158"/>
      <c r="D33" s="80">
        <f>D30+D29</f>
        <v>185.2153108129707</v>
      </c>
      <c r="E33" s="80">
        <f>E30+E29</f>
        <v>386.34507135601672</v>
      </c>
      <c r="F33" s="80">
        <f>F30+F29</f>
        <v>1164.7199016794682</v>
      </c>
      <c r="G33" s="80">
        <f>IF(G30=0,0,G30+G29)</f>
        <v>0</v>
      </c>
      <c r="H33" s="105"/>
      <c r="I33" s="105"/>
      <c r="J33" s="80">
        <f>J30+J29</f>
        <v>467.74521785622278</v>
      </c>
      <c r="K33" s="80">
        <f>K30+K29</f>
        <v>996.60967056944128</v>
      </c>
      <c r="L33" s="80">
        <f>L30+L29</f>
        <v>2649.5735055958521</v>
      </c>
      <c r="M33" s="80">
        <f>IF(Eingabe!J9=0,0,M30+M29)</f>
        <v>0</v>
      </c>
      <c r="N33" s="106"/>
    </row>
    <row r="34" spans="1:14" ht="15.95" customHeight="1" x14ac:dyDescent="0.25">
      <c r="A34" s="164"/>
      <c r="B34" s="135"/>
      <c r="C34" s="96"/>
      <c r="D34" s="96"/>
      <c r="E34" s="96"/>
      <c r="F34" s="96"/>
      <c r="G34" s="96"/>
      <c r="H34" s="96"/>
      <c r="I34" s="96"/>
      <c r="J34" s="96"/>
      <c r="K34" s="96"/>
      <c r="L34" s="96"/>
      <c r="M34" s="96"/>
      <c r="N34" s="106"/>
    </row>
    <row r="35" spans="1:14" ht="15.95" customHeight="1" x14ac:dyDescent="0.25">
      <c r="A35" s="109"/>
      <c r="B35" s="96"/>
      <c r="C35" s="96"/>
      <c r="D35" s="96"/>
      <c r="E35" s="96"/>
      <c r="F35" s="96"/>
      <c r="G35" s="96"/>
      <c r="H35" s="96"/>
      <c r="I35" s="96"/>
      <c r="J35" s="96"/>
      <c r="K35" s="96"/>
      <c r="L35" s="96"/>
      <c r="M35" s="96"/>
      <c r="N35" s="106"/>
    </row>
    <row r="36" spans="1:14" ht="15.95" customHeight="1" x14ac:dyDescent="0.25">
      <c r="A36" s="315" t="s">
        <v>226</v>
      </c>
      <c r="B36" s="316"/>
      <c r="C36" s="317"/>
      <c r="D36" s="140"/>
      <c r="E36" s="140"/>
      <c r="F36" s="140"/>
      <c r="G36" s="140"/>
      <c r="H36" s="141"/>
      <c r="I36" s="141"/>
      <c r="J36" s="140"/>
      <c r="K36" s="140"/>
      <c r="L36" s="140"/>
      <c r="M36" s="140"/>
      <c r="N36" s="106"/>
    </row>
    <row r="37" spans="1:14" ht="15.95" customHeight="1" x14ac:dyDescent="0.25">
      <c r="A37" s="312" t="s">
        <v>227</v>
      </c>
      <c r="B37" s="313"/>
      <c r="C37" s="39">
        <f>(D30*Eingabe!B14+Trockenzeit!E30*Eingabe!C14+Trockenzeit!F30*Eingabe!D14+G30*Eingabe!E14+Trockenzeit!J30*Eingabe!G14+Trockenzeit!K30*Eingabe!H14+Trockenzeit!L30*Eingabe!I14+M30*Eingabe!J14)/SUM(Eingabe!B14:J14)</f>
        <v>392.37950436657832</v>
      </c>
      <c r="D37" s="156" t="s">
        <v>106</v>
      </c>
      <c r="E37" s="142"/>
      <c r="F37" s="142"/>
      <c r="G37" s="141"/>
      <c r="H37" s="141"/>
      <c r="I37" s="141"/>
      <c r="J37" s="142"/>
      <c r="K37" s="142"/>
      <c r="L37" s="142"/>
      <c r="M37" s="96"/>
      <c r="N37" s="106"/>
    </row>
    <row r="38" spans="1:14" ht="15.95" customHeight="1" x14ac:dyDescent="0.25">
      <c r="A38" s="312" t="s">
        <v>110</v>
      </c>
      <c r="B38" s="313"/>
      <c r="C38" s="39">
        <f>(D30*Eingabe!B11+Trockenzeit!E30*Eingabe!C11+Trockenzeit!F30*Eingabe!D11+G33*Eingabe!E11+Trockenzeit!J30*Eingabe!G11+Trockenzeit!K30*Eingabe!H11+Trockenzeit!L30*Eingabe!I11+M30*Eingabe!J11)/SUM(Eingabe!B11:J11)</f>
        <v>771.89743713057339</v>
      </c>
      <c r="D38" s="157" t="s">
        <v>106</v>
      </c>
      <c r="E38" s="143"/>
      <c r="F38" s="143"/>
      <c r="G38" s="143"/>
      <c r="H38" s="141"/>
      <c r="I38" s="141"/>
      <c r="J38" s="143"/>
      <c r="K38" s="143"/>
      <c r="L38" s="143"/>
      <c r="M38" s="144"/>
      <c r="N38" s="106"/>
    </row>
    <row r="39" spans="1:14" ht="15.95" customHeight="1" thickBot="1" x14ac:dyDescent="0.3">
      <c r="A39" s="165"/>
      <c r="B39" s="166"/>
      <c r="C39" s="167"/>
      <c r="D39" s="168"/>
      <c r="E39" s="168"/>
      <c r="F39" s="168"/>
      <c r="G39" s="168"/>
      <c r="H39" s="167"/>
      <c r="I39" s="167"/>
      <c r="J39" s="168"/>
      <c r="K39" s="168"/>
      <c r="L39" s="168"/>
      <c r="M39" s="169"/>
      <c r="N39" s="113"/>
    </row>
    <row r="40" spans="1:14" ht="15.75" thickTop="1" x14ac:dyDescent="0.25">
      <c r="C40" s="26"/>
      <c r="I40" s="26"/>
    </row>
    <row r="42" spans="1:14" x14ac:dyDescent="0.25">
      <c r="D42" s="46"/>
      <c r="G42" s="26"/>
    </row>
  </sheetData>
  <sheetProtection password="CB3B" sheet="1" objects="1" scenarios="1"/>
  <mergeCells count="16">
    <mergeCell ref="A1:M2"/>
    <mergeCell ref="A37:B37"/>
    <mergeCell ref="A38:B38"/>
    <mergeCell ref="J9:M9"/>
    <mergeCell ref="A36:C36"/>
    <mergeCell ref="D3:G3"/>
    <mergeCell ref="J3:M3"/>
    <mergeCell ref="J10:M10"/>
    <mergeCell ref="J11:M11"/>
    <mergeCell ref="D4:G4"/>
    <mergeCell ref="D5:G5"/>
    <mergeCell ref="D9:G9"/>
    <mergeCell ref="D10:G10"/>
    <mergeCell ref="D11:G11"/>
    <mergeCell ref="J4:M4"/>
    <mergeCell ref="J5:M5"/>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
  <sheetViews>
    <sheetView topLeftCell="A19" workbookViewId="0">
      <selection activeCell="C43" sqref="C43"/>
    </sheetView>
  </sheetViews>
  <sheetFormatPr baseColWidth="10" defaultRowHeight="15" x14ac:dyDescent="0.25"/>
  <cols>
    <col min="1" max="1" width="17.7109375" customWidth="1"/>
    <col min="2" max="5" width="7.85546875" customWidth="1"/>
    <col min="6" max="6" width="4.7109375" customWidth="1"/>
    <col min="7" max="10" width="7.85546875" customWidth="1"/>
    <col min="12" max="12" width="18.42578125" customWidth="1"/>
  </cols>
  <sheetData>
    <row r="1" spans="1:17" s="76" customFormat="1" ht="15.95" customHeight="1" thickTop="1" x14ac:dyDescent="0.25">
      <c r="A1" s="308" t="s">
        <v>300</v>
      </c>
      <c r="B1" s="309"/>
      <c r="C1" s="309"/>
      <c r="D1" s="309"/>
      <c r="E1" s="309"/>
      <c r="F1" s="309"/>
      <c r="G1" s="309"/>
      <c r="H1" s="309"/>
      <c r="I1" s="309"/>
      <c r="J1" s="309"/>
      <c r="K1" s="309"/>
      <c r="L1" s="309"/>
      <c r="M1" s="309"/>
      <c r="N1" s="309"/>
      <c r="O1" s="309"/>
      <c r="P1" s="320"/>
      <c r="Q1" s="160"/>
    </row>
    <row r="2" spans="1:17" s="76" customFormat="1" ht="15.95" customHeight="1" x14ac:dyDescent="0.25">
      <c r="A2" s="310"/>
      <c r="B2" s="311"/>
      <c r="C2" s="311"/>
      <c r="D2" s="311"/>
      <c r="E2" s="311"/>
      <c r="F2" s="311"/>
      <c r="G2" s="311"/>
      <c r="H2" s="311"/>
      <c r="I2" s="311"/>
      <c r="J2" s="311"/>
      <c r="K2" s="311"/>
      <c r="L2" s="311"/>
      <c r="M2" s="311"/>
      <c r="N2" s="311"/>
      <c r="O2" s="311"/>
      <c r="P2" s="321"/>
      <c r="Q2" s="106"/>
    </row>
    <row r="3" spans="1:17" ht="15.95" customHeight="1" x14ac:dyDescent="0.25">
      <c r="A3" s="323" t="s">
        <v>301</v>
      </c>
      <c r="B3" s="324"/>
      <c r="C3" s="324"/>
      <c r="D3" s="324"/>
      <c r="E3" s="324"/>
      <c r="F3" s="324"/>
      <c r="G3" s="324"/>
      <c r="H3" s="324"/>
      <c r="I3" s="324"/>
      <c r="J3" s="324"/>
      <c r="K3" s="96"/>
      <c r="L3" s="322" t="s">
        <v>111</v>
      </c>
      <c r="M3" s="322"/>
      <c r="N3" s="322"/>
      <c r="O3" s="322"/>
      <c r="P3" s="322"/>
      <c r="Q3" s="106"/>
    </row>
    <row r="4" spans="1:17" ht="15.95" customHeight="1" x14ac:dyDescent="0.25">
      <c r="A4" s="325"/>
      <c r="B4" s="326"/>
      <c r="C4" s="326"/>
      <c r="D4" s="326"/>
      <c r="E4" s="326"/>
      <c r="F4" s="326"/>
      <c r="G4" s="326"/>
      <c r="H4" s="326"/>
      <c r="I4" s="326"/>
      <c r="J4" s="326"/>
      <c r="K4" s="96"/>
      <c r="L4" s="96"/>
      <c r="M4" s="96"/>
      <c r="N4" s="96"/>
      <c r="O4" s="96"/>
      <c r="P4" s="96"/>
      <c r="Q4" s="106"/>
    </row>
    <row r="5" spans="1:17" ht="15.95" customHeight="1" x14ac:dyDescent="0.25">
      <c r="A5" s="193" t="s">
        <v>90</v>
      </c>
      <c r="B5" s="182"/>
      <c r="C5" s="182"/>
      <c r="D5" s="182" t="s">
        <v>302</v>
      </c>
      <c r="E5" s="182"/>
      <c r="F5" s="182"/>
      <c r="G5" s="182"/>
      <c r="H5" s="182"/>
      <c r="I5" s="182"/>
      <c r="J5" s="183"/>
      <c r="K5" s="96"/>
      <c r="L5" s="38" t="s">
        <v>112</v>
      </c>
      <c r="M5" s="79">
        <f>Eingabe!B29*24</f>
        <v>7680</v>
      </c>
      <c r="N5" s="96"/>
      <c r="O5" s="96"/>
      <c r="P5" s="96"/>
      <c r="Q5" s="106"/>
    </row>
    <row r="6" spans="1:17" ht="15.95" customHeight="1" x14ac:dyDescent="0.25">
      <c r="A6" s="194" t="s">
        <v>91</v>
      </c>
      <c r="B6" s="178">
        <f>Eingabe!$B18*1000</f>
        <v>1100</v>
      </c>
      <c r="C6" s="178">
        <f>Eingabe!$B18*1000</f>
        <v>1100</v>
      </c>
      <c r="D6" s="178">
        <f>Eingabe!$B18*1000</f>
        <v>1100</v>
      </c>
      <c r="E6" s="178">
        <f>Eingabe!$B18*1000</f>
        <v>1100</v>
      </c>
      <c r="F6" s="115"/>
      <c r="G6" s="178">
        <f>Eingabe!$B18*1000</f>
        <v>1100</v>
      </c>
      <c r="H6" s="178">
        <f>Eingabe!$B18*1000</f>
        <v>1100</v>
      </c>
      <c r="I6" s="178">
        <f>Eingabe!$B18*1000</f>
        <v>1100</v>
      </c>
      <c r="J6" s="178">
        <f>Eingabe!$B18*1000</f>
        <v>1100</v>
      </c>
      <c r="K6" s="96"/>
      <c r="L6" s="38" t="s">
        <v>4</v>
      </c>
      <c r="M6" s="77">
        <f>SUM(Eingabe!B14:J14)</f>
        <v>13333.333333333332</v>
      </c>
      <c r="N6" s="96"/>
      <c r="O6" s="96"/>
      <c r="P6" s="96"/>
      <c r="Q6" s="106"/>
    </row>
    <row r="7" spans="1:17" ht="15.95" customHeight="1" x14ac:dyDescent="0.25">
      <c r="A7" s="195" t="s">
        <v>92</v>
      </c>
      <c r="B7" s="58">
        <f>Eingabe!B9</f>
        <v>24</v>
      </c>
      <c r="C7" s="58">
        <f>Eingabe!C9</f>
        <v>36</v>
      </c>
      <c r="D7" s="58">
        <f>Eingabe!D9</f>
        <v>59</v>
      </c>
      <c r="E7" s="58">
        <f>Eingabe!E9</f>
        <v>0</v>
      </c>
      <c r="F7" s="115"/>
      <c r="G7" s="58">
        <f>Eingabe!G9</f>
        <v>24</v>
      </c>
      <c r="H7" s="58">
        <f>Eingabe!H9</f>
        <v>36</v>
      </c>
      <c r="I7" s="58">
        <f>Eingabe!I9</f>
        <v>59</v>
      </c>
      <c r="J7" s="58">
        <f>Eingabe!J9</f>
        <v>0</v>
      </c>
      <c r="K7" s="96"/>
      <c r="L7" s="38" t="s">
        <v>113</v>
      </c>
      <c r="M7" s="77">
        <f>Trockenzeit!C37</f>
        <v>392.37950436657832</v>
      </c>
      <c r="N7" s="96"/>
      <c r="O7" s="96"/>
      <c r="P7" s="96"/>
      <c r="Q7" s="106"/>
    </row>
    <row r="8" spans="1:17" ht="15.95" customHeight="1" x14ac:dyDescent="0.25">
      <c r="A8" s="195" t="s">
        <v>93</v>
      </c>
      <c r="B8" s="58">
        <f>Eingabe!B21</f>
        <v>22</v>
      </c>
      <c r="C8" s="58">
        <f>Eingabe!C21</f>
        <v>22</v>
      </c>
      <c r="D8" s="58">
        <f>Eingabe!D21</f>
        <v>24</v>
      </c>
      <c r="E8" s="58">
        <f>Eingabe!E21</f>
        <v>24</v>
      </c>
      <c r="F8" s="115"/>
      <c r="G8" s="58">
        <f>Eingabe!G21</f>
        <v>22</v>
      </c>
      <c r="H8" s="58">
        <f>Eingabe!H21</f>
        <v>22</v>
      </c>
      <c r="I8" s="58">
        <f>Eingabe!I21</f>
        <v>24</v>
      </c>
      <c r="J8" s="58">
        <f>Eingabe!J21</f>
        <v>24</v>
      </c>
      <c r="K8" s="96"/>
      <c r="L8" s="96"/>
      <c r="M8" s="96"/>
      <c r="N8" s="96"/>
      <c r="O8" s="96"/>
      <c r="P8" s="96"/>
      <c r="Q8" s="106"/>
    </row>
    <row r="9" spans="1:17" ht="15.95" customHeight="1" x14ac:dyDescent="0.25">
      <c r="A9" s="195" t="s">
        <v>94</v>
      </c>
      <c r="B9" s="59">
        <f>ROUNDDOWN(B6/(B7+B8),0)</f>
        <v>23</v>
      </c>
      <c r="C9" s="59">
        <f t="shared" ref="C9:J9" si="0">ROUNDDOWN(C6/(C7+C8),0)</f>
        <v>18</v>
      </c>
      <c r="D9" s="59">
        <f t="shared" si="0"/>
        <v>13</v>
      </c>
      <c r="E9" s="59">
        <f t="shared" si="0"/>
        <v>45</v>
      </c>
      <c r="F9" s="121"/>
      <c r="G9" s="59">
        <f t="shared" si="0"/>
        <v>23</v>
      </c>
      <c r="H9" s="59">
        <f t="shared" si="0"/>
        <v>18</v>
      </c>
      <c r="I9" s="59">
        <f t="shared" si="0"/>
        <v>13</v>
      </c>
      <c r="J9" s="59">
        <f t="shared" si="0"/>
        <v>45</v>
      </c>
      <c r="K9" s="96"/>
      <c r="L9" s="38" t="s">
        <v>104</v>
      </c>
      <c r="M9" s="77">
        <f>M5/M7</f>
        <v>19.572887764354288</v>
      </c>
      <c r="N9" s="96"/>
      <c r="O9" s="96"/>
      <c r="P9" s="96"/>
      <c r="Q9" s="106"/>
    </row>
    <row r="10" spans="1:17" ht="15.95" customHeight="1" x14ac:dyDescent="0.25">
      <c r="A10" s="196"/>
      <c r="B10" s="180"/>
      <c r="C10" s="180"/>
      <c r="D10" s="180"/>
      <c r="E10" s="180"/>
      <c r="F10" s="100"/>
      <c r="G10" s="180"/>
      <c r="H10" s="180"/>
      <c r="I10" s="180"/>
      <c r="J10" s="180"/>
      <c r="K10" s="158"/>
      <c r="L10" s="38" t="s">
        <v>114</v>
      </c>
      <c r="M10" s="77">
        <f>M6/M9</f>
        <v>681.2144173030872</v>
      </c>
      <c r="N10" s="96"/>
      <c r="O10" s="96"/>
      <c r="P10" s="96"/>
      <c r="Q10" s="106"/>
    </row>
    <row r="11" spans="1:17" ht="15.95" customHeight="1" x14ac:dyDescent="0.25">
      <c r="A11" s="197" t="s">
        <v>95</v>
      </c>
      <c r="B11" s="182"/>
      <c r="C11" s="182"/>
      <c r="D11" s="182" t="s">
        <v>303</v>
      </c>
      <c r="E11" s="182"/>
      <c r="F11" s="182"/>
      <c r="G11" s="182"/>
      <c r="H11" s="182"/>
      <c r="I11" s="182"/>
      <c r="J11" s="183"/>
      <c r="K11" s="96"/>
      <c r="L11" s="38" t="s">
        <v>115</v>
      </c>
      <c r="M11" s="170">
        <f>(B24*Eingabe!B14+C24*Eingabe!C14+D24*Eingabe!D14+E24*Eingabe!E14+G24*Eingabe!G14+H24*Eingabe!H14+I24*Eingabe!I14+J24*Eingabe!J14)/SUM(Eingabe!B14:J14)</f>
        <v>1.5444000000000007</v>
      </c>
      <c r="N11" s="96"/>
      <c r="O11" s="96"/>
      <c r="P11" s="96"/>
      <c r="Q11" s="106"/>
    </row>
    <row r="12" spans="1:17" ht="15.95" customHeight="1" x14ac:dyDescent="0.25">
      <c r="A12" s="198" t="s">
        <v>96</v>
      </c>
      <c r="B12" s="181">
        <f>B9*B7/B6</f>
        <v>0.50181818181818183</v>
      </c>
      <c r="C12" s="181">
        <f>C9*C7/C6</f>
        <v>0.58909090909090911</v>
      </c>
      <c r="D12" s="181">
        <f>D9*D7/D6</f>
        <v>0.69727272727272727</v>
      </c>
      <c r="E12" s="181">
        <f>E9*E7/E6</f>
        <v>0</v>
      </c>
      <c r="F12" s="173"/>
      <c r="G12" s="181">
        <f>G9*G7/G6</f>
        <v>0.50181818181818183</v>
      </c>
      <c r="H12" s="181">
        <f>H9*H7/H6</f>
        <v>0.58909090909090911</v>
      </c>
      <c r="I12" s="181">
        <f>I9*I7/I6</f>
        <v>0.69727272727272727</v>
      </c>
      <c r="J12" s="181">
        <f>J9*J7/J6</f>
        <v>0</v>
      </c>
      <c r="K12" s="96"/>
      <c r="L12" s="96"/>
      <c r="M12" s="96"/>
      <c r="N12" s="96"/>
      <c r="O12" s="96"/>
      <c r="P12" s="96"/>
      <c r="Q12" s="106"/>
    </row>
    <row r="13" spans="1:17" ht="15.95" customHeight="1" x14ac:dyDescent="0.25">
      <c r="A13" s="196"/>
      <c r="B13" s="180"/>
      <c r="C13" s="180"/>
      <c r="D13" s="180"/>
      <c r="E13" s="180"/>
      <c r="F13" s="100"/>
      <c r="G13" s="180"/>
      <c r="H13" s="180"/>
      <c r="I13" s="180"/>
      <c r="J13" s="180"/>
      <c r="K13" s="158"/>
      <c r="L13" s="38" t="s">
        <v>116</v>
      </c>
      <c r="M13" s="77">
        <f>ROUNDUP(M10/M11,0)</f>
        <v>442</v>
      </c>
      <c r="N13" s="96"/>
      <c r="O13" s="96"/>
      <c r="P13" s="96"/>
      <c r="Q13" s="106"/>
    </row>
    <row r="14" spans="1:17" ht="15.95" customHeight="1" x14ac:dyDescent="0.25">
      <c r="A14" s="197" t="s">
        <v>97</v>
      </c>
      <c r="B14" s="179"/>
      <c r="C14" s="182"/>
      <c r="D14" s="182" t="s">
        <v>304</v>
      </c>
      <c r="E14" s="182"/>
      <c r="F14" s="182"/>
      <c r="G14" s="182"/>
      <c r="H14" s="182"/>
      <c r="I14" s="182"/>
      <c r="J14" s="183"/>
      <c r="K14" s="96"/>
      <c r="L14" s="96"/>
      <c r="M14" s="96"/>
      <c r="N14" s="96"/>
      <c r="O14" s="96"/>
      <c r="P14" s="96"/>
      <c r="Q14" s="106"/>
    </row>
    <row r="15" spans="1:17" ht="15.95" customHeight="1" x14ac:dyDescent="0.25">
      <c r="A15" s="198" t="s">
        <v>98</v>
      </c>
      <c r="B15" s="181">
        <f>IF(Eingabe!$B17&lt;Eingabe!$G17,Eingabe!$B17/Eingabe!$G17,1)</f>
        <v>1</v>
      </c>
      <c r="C15" s="181">
        <f>IF(Eingabe!$B17&lt;Eingabe!$G17,Eingabe!$B17/Eingabe!$G17,1)</f>
        <v>1</v>
      </c>
      <c r="D15" s="181">
        <f>IF(Eingabe!$B17&lt;Eingabe!$G17,Eingabe!$B17/Eingabe!$G17,1)</f>
        <v>1</v>
      </c>
      <c r="E15" s="181">
        <f>IF(Eingabe!$B17&lt;Eingabe!$G17,Eingabe!$B17/Eingabe!$G17,1)</f>
        <v>1</v>
      </c>
      <c r="F15" s="115"/>
      <c r="G15" s="178">
        <f>IF(Eingabe!$G17&lt;Eingabe!$B17,Eingabe!$G17/Eingabe!$B17,1)</f>
        <v>1</v>
      </c>
      <c r="H15" s="178">
        <f>IF(Eingabe!$G17&lt;Eingabe!$B17,Eingabe!$G17/Eingabe!$B17,1)</f>
        <v>1</v>
      </c>
      <c r="I15" s="178">
        <f>IF(Eingabe!$G17&lt;Eingabe!$B17,Eingabe!$G17/Eingabe!$B17,1)</f>
        <v>1</v>
      </c>
      <c r="J15" s="178">
        <f>IF(Eingabe!$G17&lt;Eingabe!$B17,Eingabe!$G17/Eingabe!$B17,1)</f>
        <v>1</v>
      </c>
      <c r="K15" s="96"/>
      <c r="L15" s="96"/>
      <c r="M15" s="96"/>
      <c r="N15" s="96"/>
      <c r="O15" s="96"/>
      <c r="P15" s="96"/>
      <c r="Q15" s="106"/>
    </row>
    <row r="16" spans="1:17" ht="15.95" customHeight="1" thickBot="1" x14ac:dyDescent="0.3">
      <c r="A16" s="196"/>
      <c r="B16" s="180"/>
      <c r="C16" s="180"/>
      <c r="D16" s="180"/>
      <c r="E16" s="180"/>
      <c r="F16" s="100"/>
      <c r="G16" s="180"/>
      <c r="H16" s="180"/>
      <c r="I16" s="180"/>
      <c r="J16" s="180"/>
      <c r="K16" s="158"/>
      <c r="L16" s="38" t="s">
        <v>117</v>
      </c>
      <c r="M16" s="90" t="s">
        <v>118</v>
      </c>
      <c r="N16" s="90" t="s">
        <v>221</v>
      </c>
      <c r="O16" s="90" t="s">
        <v>120</v>
      </c>
      <c r="P16" s="38"/>
      <c r="Q16" s="106"/>
    </row>
    <row r="17" spans="1:17" ht="15.95" customHeight="1" thickTop="1" thickBot="1" x14ac:dyDescent="0.3">
      <c r="A17" s="197" t="s">
        <v>99</v>
      </c>
      <c r="B17" s="179"/>
      <c r="C17" s="179"/>
      <c r="D17" s="179"/>
      <c r="E17" s="179"/>
      <c r="F17" s="179"/>
      <c r="G17" s="179"/>
      <c r="H17" s="179"/>
      <c r="I17" s="179"/>
      <c r="J17" s="177"/>
      <c r="K17" s="96"/>
      <c r="L17" s="190" t="s">
        <v>121</v>
      </c>
      <c r="M17" s="275">
        <v>14</v>
      </c>
      <c r="N17" s="275">
        <v>7</v>
      </c>
      <c r="O17" s="275">
        <v>5</v>
      </c>
      <c r="P17" s="191"/>
      <c r="Q17" s="106"/>
    </row>
    <row r="18" spans="1:17" ht="15.95" customHeight="1" thickTop="1" x14ac:dyDescent="0.25">
      <c r="A18" s="198" t="s">
        <v>100</v>
      </c>
      <c r="B18" s="178">
        <f>IF(Eingabe!$B7="unbesäumt",0.7,0.9)</f>
        <v>0.9</v>
      </c>
      <c r="C18" s="178">
        <f>IF(Eingabe!$B7="unbesäumt",0.7,0.9)</f>
        <v>0.9</v>
      </c>
      <c r="D18" s="178">
        <f>IF(Eingabe!$B7="unbesäumt",0.7,0.9)</f>
        <v>0.9</v>
      </c>
      <c r="E18" s="178">
        <f>IF(Eingabe!$B7="unbesäumt",0.7,0.9)</f>
        <v>0.9</v>
      </c>
      <c r="F18" s="115"/>
      <c r="G18" s="178">
        <f>IF(Eingabe!$G7="unbesäumt",0.7,0.9)</f>
        <v>0.9</v>
      </c>
      <c r="H18" s="178">
        <f>IF(Eingabe!$G7="unbesäumt",0.7,0.9)</f>
        <v>0.9</v>
      </c>
      <c r="I18" s="178">
        <f>IF(Eingabe!$G7="unbesäumt",0.7,0.9)</f>
        <v>0.9</v>
      </c>
      <c r="J18" s="178">
        <f>IF(Eingabe!$G7="unbesäumt",0.7,0.9)</f>
        <v>0.9</v>
      </c>
      <c r="K18" s="96"/>
      <c r="L18" s="38" t="s">
        <v>10</v>
      </c>
      <c r="M18" s="192">
        <f>IF(SUM(Eingabe!G14:J14)=0,Eingabe!B17,IF(Eingabe!B17&lt;Eingabe!G17,Eingabe!G17,Eingabe!B17))</f>
        <v>2.6</v>
      </c>
      <c r="N18" s="192">
        <f>Eingabe!B18</f>
        <v>1.1000000000000001</v>
      </c>
      <c r="O18" s="192">
        <f>Eingabe!B19</f>
        <v>1.1000000000000001</v>
      </c>
      <c r="P18" s="79">
        <f t="shared" ref="P18:P22" si="1">M18*N18*O18</f>
        <v>3.1460000000000008</v>
      </c>
      <c r="Q18" s="106"/>
    </row>
    <row r="19" spans="1:17" ht="15.95" customHeight="1" x14ac:dyDescent="0.25">
      <c r="A19" s="196"/>
      <c r="B19" s="180"/>
      <c r="C19" s="180"/>
      <c r="D19" s="180"/>
      <c r="E19" s="180"/>
      <c r="F19" s="100"/>
      <c r="G19" s="180"/>
      <c r="H19" s="180"/>
      <c r="I19" s="180"/>
      <c r="J19" s="180"/>
      <c r="K19" s="158"/>
      <c r="L19" s="38" t="s">
        <v>122</v>
      </c>
      <c r="M19" s="79">
        <v>0.3</v>
      </c>
      <c r="N19" s="79">
        <v>0.1</v>
      </c>
      <c r="O19" s="79">
        <v>0.1</v>
      </c>
      <c r="P19" s="79"/>
      <c r="Q19" s="106"/>
    </row>
    <row r="20" spans="1:17" ht="15.95" customHeight="1" x14ac:dyDescent="0.25">
      <c r="A20" s="197" t="s">
        <v>101</v>
      </c>
      <c r="B20" s="179"/>
      <c r="C20" s="179"/>
      <c r="D20" s="179" t="s">
        <v>305</v>
      </c>
      <c r="E20" s="179"/>
      <c r="F20" s="179"/>
      <c r="G20" s="179"/>
      <c r="H20" s="179"/>
      <c r="I20" s="179"/>
      <c r="J20" s="177"/>
      <c r="K20" s="96"/>
      <c r="L20" s="38" t="s">
        <v>123</v>
      </c>
      <c r="M20" s="79">
        <f>ROUNDDOWN(M17/(M18+M19),0)</f>
        <v>4</v>
      </c>
      <c r="N20" s="79">
        <f>IF(ROUNDUP(M13/M20/O20/M24,0)*(N18+N19)&lt;N17,ROUNDUP(M13/M20/O20/M24,0),ROUNDDOWN(M13/M20/O20/M24,0))</f>
        <v>5</v>
      </c>
      <c r="O20" s="77">
        <f>ROUNDDOWN((O17-0.3)/(O18+O19),0)</f>
        <v>3</v>
      </c>
      <c r="P20" s="79">
        <f t="shared" si="1"/>
        <v>60</v>
      </c>
      <c r="Q20" s="106"/>
    </row>
    <row r="21" spans="1:17" ht="15.95" customHeight="1" x14ac:dyDescent="0.25">
      <c r="A21" s="199" t="s">
        <v>102</v>
      </c>
      <c r="B21" s="184">
        <f>B12*B15*B18</f>
        <v>0.45163636363636367</v>
      </c>
      <c r="C21" s="184">
        <f>C12*C15*C18</f>
        <v>0.5301818181818182</v>
      </c>
      <c r="D21" s="184">
        <f>D12*D15*D18</f>
        <v>0.62754545454545452</v>
      </c>
      <c r="E21" s="184">
        <f>E12*E15*E18</f>
        <v>0</v>
      </c>
      <c r="F21" s="173"/>
      <c r="G21" s="184">
        <f>G12*G15*G18</f>
        <v>0.45163636363636367</v>
      </c>
      <c r="H21" s="184">
        <f>H12*H15*H18</f>
        <v>0.5301818181818182</v>
      </c>
      <c r="I21" s="184">
        <f>I12*I15*I18</f>
        <v>0.62754545454545452</v>
      </c>
      <c r="J21" s="184">
        <f>J12*J15*J18</f>
        <v>0</v>
      </c>
      <c r="K21" s="96"/>
      <c r="L21" s="38" t="s">
        <v>125</v>
      </c>
      <c r="M21" s="79">
        <f>M18*M20</f>
        <v>10.4</v>
      </c>
      <c r="N21" s="79">
        <f t="shared" ref="N21:O21" si="2">N18*N20</f>
        <v>5.5</v>
      </c>
      <c r="O21" s="79">
        <f t="shared" si="2"/>
        <v>3.3000000000000003</v>
      </c>
      <c r="P21" s="79">
        <f t="shared" si="1"/>
        <v>188.76000000000002</v>
      </c>
      <c r="Q21" s="106"/>
    </row>
    <row r="22" spans="1:17" ht="15.95" customHeight="1" x14ac:dyDescent="0.25">
      <c r="A22" s="196"/>
      <c r="B22" s="180"/>
      <c r="C22" s="180"/>
      <c r="D22" s="180"/>
      <c r="E22" s="180"/>
      <c r="F22" s="100"/>
      <c r="G22" s="180"/>
      <c r="H22" s="180"/>
      <c r="I22" s="180"/>
      <c r="J22" s="180"/>
      <c r="K22" s="158"/>
      <c r="L22" s="38" t="s">
        <v>124</v>
      </c>
      <c r="M22" s="60">
        <f>M18*M20+(M20-1)*M19</f>
        <v>11.3</v>
      </c>
      <c r="N22" s="60">
        <f t="shared" ref="N22" si="3">N18*N20+(N20-1)*N19</f>
        <v>5.9</v>
      </c>
      <c r="O22" s="60">
        <f>O18*O20+(O20-1)*O19+0.3</f>
        <v>3.8000000000000003</v>
      </c>
      <c r="P22" s="60">
        <f t="shared" si="1"/>
        <v>253.34600000000003</v>
      </c>
      <c r="Q22" s="106"/>
    </row>
    <row r="23" spans="1:17" ht="15.95" customHeight="1" x14ac:dyDescent="0.25">
      <c r="A23" s="200" t="s">
        <v>103</v>
      </c>
      <c r="B23" s="179"/>
      <c r="C23" s="179"/>
      <c r="D23" s="179" t="s">
        <v>306</v>
      </c>
      <c r="E23" s="179"/>
      <c r="F23" s="179"/>
      <c r="G23" s="179"/>
      <c r="H23" s="179"/>
      <c r="I23" s="179"/>
      <c r="J23" s="177"/>
      <c r="K23" s="96"/>
      <c r="L23" s="96"/>
      <c r="M23" s="96"/>
      <c r="N23" s="96"/>
      <c r="O23" s="96"/>
      <c r="P23" s="96"/>
      <c r="Q23" s="106"/>
    </row>
    <row r="24" spans="1:17" ht="15.95" customHeight="1" x14ac:dyDescent="0.25">
      <c r="A24" s="201" t="s">
        <v>109</v>
      </c>
      <c r="B24" s="185">
        <f>Eingabe!$B17*Eingabe!$B18*Eingabe!$B19*Volumen!B21</f>
        <v>1.4208480000000006</v>
      </c>
      <c r="C24" s="185">
        <f>Eingabe!$B17*Eingabe!$B18*Eingabe!$B19*Volumen!C21</f>
        <v>1.6679520000000005</v>
      </c>
      <c r="D24" s="185">
        <f>Eingabe!$B17*Eingabe!$B18*Eingabe!$B19*Volumen!D21</f>
        <v>1.9742580000000005</v>
      </c>
      <c r="E24" s="185">
        <f>Eingabe!$B17*Eingabe!$B18*Eingabe!$B19*Volumen!E21</f>
        <v>0</v>
      </c>
      <c r="F24" s="173"/>
      <c r="G24" s="185">
        <f>Eingabe!$B17*Eingabe!$B18*Eingabe!$B19*Volumen!G21</f>
        <v>1.4208480000000006</v>
      </c>
      <c r="H24" s="185">
        <f>Eingabe!$B17*Eingabe!$B18*Eingabe!$B19*Volumen!H21</f>
        <v>1.6679520000000005</v>
      </c>
      <c r="I24" s="185">
        <f>Eingabe!$B17*Eingabe!$B18*Eingabe!$B19*Volumen!I21</f>
        <v>1.9742580000000005</v>
      </c>
      <c r="J24" s="185">
        <f>Eingabe!$B17*Eingabe!$B18*Eingabe!$B19*Volumen!J21</f>
        <v>0</v>
      </c>
      <c r="K24" s="96"/>
      <c r="L24" s="38" t="s">
        <v>126</v>
      </c>
      <c r="M24" s="60">
        <f>ROUNDUP(M13/M20/O20*(N18+N19)/N17,0)</f>
        <v>7</v>
      </c>
      <c r="N24" s="96"/>
      <c r="O24" s="96"/>
      <c r="P24" s="96"/>
      <c r="Q24" s="106"/>
    </row>
    <row r="25" spans="1:17" ht="15.95" customHeight="1" x14ac:dyDescent="0.25">
      <c r="A25" s="202" t="s">
        <v>103</v>
      </c>
      <c r="B25" s="188"/>
      <c r="C25" s="188"/>
      <c r="D25" s="179" t="s">
        <v>307</v>
      </c>
      <c r="E25" s="188"/>
      <c r="F25" s="188"/>
      <c r="G25" s="188"/>
      <c r="H25" s="188"/>
      <c r="I25" s="188"/>
      <c r="J25" s="189"/>
      <c r="K25" s="96"/>
      <c r="L25" s="38" t="s">
        <v>234</v>
      </c>
      <c r="M25" s="56">
        <f>P20*M11</f>
        <v>92.664000000000044</v>
      </c>
      <c r="N25" s="96"/>
      <c r="O25" s="96"/>
      <c r="P25" s="96"/>
      <c r="Q25" s="106"/>
    </row>
    <row r="26" spans="1:17" ht="15.95" customHeight="1" x14ac:dyDescent="0.25">
      <c r="A26" s="203" t="s">
        <v>127</v>
      </c>
      <c r="B26" s="186">
        <f>B24*$P20</f>
        <v>85.250880000000038</v>
      </c>
      <c r="C26" s="186">
        <f>C24*$P20</f>
        <v>100.07712000000004</v>
      </c>
      <c r="D26" s="186">
        <f>D24*$P20</f>
        <v>118.45548000000004</v>
      </c>
      <c r="E26" s="186">
        <f>E24*$P20</f>
        <v>0</v>
      </c>
      <c r="F26" s="174"/>
      <c r="G26" s="186">
        <f>G24*$P20</f>
        <v>85.250880000000038</v>
      </c>
      <c r="H26" s="186">
        <f>H24*$P20</f>
        <v>100.07712000000004</v>
      </c>
      <c r="I26" s="186">
        <f>I24*$P20</f>
        <v>118.45548000000004</v>
      </c>
      <c r="J26" s="186">
        <f>J24*$P20</f>
        <v>0</v>
      </c>
      <c r="K26" s="96"/>
      <c r="L26" s="96"/>
      <c r="M26" s="96"/>
      <c r="N26" s="96"/>
      <c r="O26" s="96"/>
      <c r="P26" s="96"/>
      <c r="Q26" s="106"/>
    </row>
    <row r="27" spans="1:17" ht="15.95" customHeight="1" x14ac:dyDescent="0.25">
      <c r="A27" s="109"/>
      <c r="B27" s="96"/>
      <c r="C27" s="96"/>
      <c r="D27" s="96"/>
      <c r="E27" s="96"/>
      <c r="F27" s="96"/>
      <c r="G27" s="96"/>
      <c r="H27" s="96"/>
      <c r="I27" s="96"/>
      <c r="J27" s="96"/>
      <c r="K27" s="96"/>
      <c r="L27" s="96"/>
      <c r="M27" s="96"/>
      <c r="N27" s="96"/>
      <c r="O27" s="96"/>
      <c r="P27" s="96"/>
      <c r="Q27" s="106"/>
    </row>
    <row r="28" spans="1:17" ht="15.95" customHeight="1" x14ac:dyDescent="0.25">
      <c r="A28" s="204" t="s">
        <v>257</v>
      </c>
      <c r="B28" s="171">
        <f>Eingabe!B11/Volumen!B26</f>
        <v>58.650420969261525</v>
      </c>
      <c r="C28" s="171">
        <f>Eingabe!C11/Volumen!C26</f>
        <v>49.961469714556117</v>
      </c>
      <c r="D28" s="171">
        <f>Eingabe!D11/Volumen!D26</f>
        <v>42.209950945283396</v>
      </c>
      <c r="E28" s="171">
        <f>IF(E26=0,0,Eingabe!E11/Volumen!E26)</f>
        <v>0</v>
      </c>
      <c r="F28" s="175"/>
      <c r="G28" s="171">
        <f>Eingabe!G11/Volumen!G26</f>
        <v>19.550140323087174</v>
      </c>
      <c r="H28" s="171">
        <f>Eingabe!H11/Volumen!H26</f>
        <v>16.653823238185371</v>
      </c>
      <c r="I28" s="171">
        <f>Eingabe!I11/Volumen!I26</f>
        <v>14.069983648427797</v>
      </c>
      <c r="J28" s="171">
        <f>IF(J26=0,0,Eingabe!J11/Volumen!J26)</f>
        <v>0</v>
      </c>
      <c r="K28" s="96"/>
      <c r="L28" s="96"/>
      <c r="M28" s="96"/>
      <c r="N28" s="96"/>
      <c r="O28" s="96"/>
      <c r="P28" s="96"/>
      <c r="Q28" s="106"/>
    </row>
    <row r="29" spans="1:17" ht="15.95" customHeight="1" x14ac:dyDescent="0.25">
      <c r="A29" s="204" t="s">
        <v>258</v>
      </c>
      <c r="B29" s="171">
        <f>B28*Trockenzeit!D33</f>
        <v>10862.955949133348</v>
      </c>
      <c r="C29" s="171">
        <f>C28*Trockenzeit!E33</f>
        <v>19302.367581921651</v>
      </c>
      <c r="D29" s="171">
        <f>D28*Trockenzeit!F33</f>
        <v>49162.769914885655</v>
      </c>
      <c r="E29" s="171">
        <f>E28*Trockenzeit!G33</f>
        <v>0</v>
      </c>
      <c r="F29" s="176"/>
      <c r="G29" s="171">
        <f>G28*Trockenzeit!J33</f>
        <v>9144.4846445421354</v>
      </c>
      <c r="H29" s="171">
        <f>H28*Trockenzeit!K33</f>
        <v>16597.36129112963</v>
      </c>
      <c r="I29" s="171">
        <f>I28*Trockenzeit!L33</f>
        <v>37279.455899041153</v>
      </c>
      <c r="J29" s="171">
        <f>J28*Trockenzeit!M33</f>
        <v>0</v>
      </c>
      <c r="K29" s="96"/>
      <c r="L29" s="96"/>
      <c r="M29" s="96"/>
      <c r="N29" s="96"/>
      <c r="O29" s="96"/>
      <c r="P29" s="96"/>
      <c r="Q29" s="106"/>
    </row>
    <row r="30" spans="1:17" ht="15.95" customHeight="1" x14ac:dyDescent="0.25">
      <c r="A30" s="204" t="s">
        <v>223</v>
      </c>
      <c r="B30" s="58">
        <f>7680/B29*Eingabe!B11</f>
        <v>3534.949435476959</v>
      </c>
      <c r="C30" s="58">
        <f>7680/C29*Eingabe!C11</f>
        <v>1989.3932615792139</v>
      </c>
      <c r="D30" s="58">
        <f>7680/D29*Eingabe!D11</f>
        <v>781.07885431355908</v>
      </c>
      <c r="E30" s="58" t="e">
        <f>7680/E29*Eingabe!E11</f>
        <v>#DIV/0!</v>
      </c>
      <c r="F30" s="115"/>
      <c r="G30" s="58">
        <f>7680/G29*Eingabe!G11</f>
        <v>1399.7508331581757</v>
      </c>
      <c r="H30" s="58">
        <f>7680/H29*Eingabe!H11</f>
        <v>771.20692714214101</v>
      </c>
      <c r="I30" s="58">
        <f>7680/I29*Eingabe!I11</f>
        <v>343.35265071101054</v>
      </c>
      <c r="J30" s="58" t="e">
        <f>7680/J29*Eingabe!J11</f>
        <v>#DIV/0!</v>
      </c>
      <c r="K30" s="96"/>
      <c r="L30" s="96"/>
      <c r="M30" s="96"/>
      <c r="N30" s="96"/>
      <c r="O30" s="96"/>
      <c r="P30" s="96"/>
      <c r="Q30" s="106"/>
    </row>
    <row r="31" spans="1:17" ht="15.95" customHeight="1" x14ac:dyDescent="0.25">
      <c r="A31" s="109"/>
      <c r="B31" s="96"/>
      <c r="C31" s="96"/>
      <c r="D31" s="96"/>
      <c r="E31" s="96"/>
      <c r="F31" s="96"/>
      <c r="G31" s="96"/>
      <c r="H31" s="96"/>
      <c r="I31" s="96"/>
      <c r="J31" s="96"/>
      <c r="K31" s="96"/>
      <c r="L31" s="96"/>
      <c r="M31" s="96"/>
      <c r="N31" s="96"/>
      <c r="O31" s="96"/>
      <c r="P31" s="96"/>
      <c r="Q31" s="106"/>
    </row>
    <row r="32" spans="1:17" ht="15.95" customHeight="1" x14ac:dyDescent="0.25">
      <c r="A32" s="205" t="s">
        <v>128</v>
      </c>
      <c r="B32" s="172">
        <f>B29*Eingabe!B13+C29*Eingabe!C13+D29*Eingabe!D13+E29*Eingabe!E13+G29*Eingabe!G13+H29*Eingabe!H13+I29*Eingabe!I13+J29*Eingabe!J13</f>
        <v>55907.169466726766</v>
      </c>
      <c r="C32" s="98"/>
      <c r="D32" s="96"/>
      <c r="E32" s="96"/>
      <c r="F32" s="96"/>
      <c r="G32" s="96"/>
      <c r="H32" s="96"/>
      <c r="I32" s="96"/>
      <c r="J32" s="96"/>
      <c r="K32" s="96"/>
      <c r="L32" s="96"/>
      <c r="M32" s="96"/>
      <c r="N32" s="96"/>
      <c r="O32" s="96"/>
      <c r="P32" s="96"/>
      <c r="Q32" s="106"/>
    </row>
    <row r="33" spans="1:21" ht="15.95" customHeight="1" x14ac:dyDescent="0.25">
      <c r="A33" s="206" t="s">
        <v>108</v>
      </c>
      <c r="B33" s="56">
        <f>B32/(M5*M24)*100</f>
        <v>103.9939908235245</v>
      </c>
      <c r="C33" s="26" t="s">
        <v>35</v>
      </c>
      <c r="D33" s="96"/>
      <c r="E33" s="96"/>
      <c r="F33" s="96"/>
      <c r="G33" s="96"/>
      <c r="H33" s="96"/>
      <c r="I33" s="96"/>
      <c r="J33" s="96"/>
      <c r="K33" s="96"/>
      <c r="L33" s="96"/>
      <c r="M33" s="96"/>
      <c r="N33" s="96"/>
      <c r="O33" s="96"/>
      <c r="P33" s="96"/>
      <c r="Q33" s="106"/>
    </row>
    <row r="34" spans="1:21" ht="15.95" customHeight="1" thickBot="1" x14ac:dyDescent="0.3">
      <c r="A34" s="111"/>
      <c r="B34" s="112"/>
      <c r="C34" s="112"/>
      <c r="D34" s="112"/>
      <c r="E34" s="112"/>
      <c r="F34" s="112"/>
      <c r="G34" s="112"/>
      <c r="H34" s="112"/>
      <c r="I34" s="112"/>
      <c r="J34" s="112"/>
      <c r="K34" s="112"/>
      <c r="L34" s="112"/>
      <c r="M34" s="112"/>
      <c r="N34" s="112"/>
      <c r="O34" s="112"/>
      <c r="P34" s="112"/>
      <c r="Q34" s="113"/>
    </row>
    <row r="35" spans="1:21" ht="15.75" thickTop="1" x14ac:dyDescent="0.25"/>
    <row r="37" spans="1:21" x14ac:dyDescent="0.25">
      <c r="L37" s="42"/>
      <c r="N37" s="42"/>
      <c r="O37" s="42"/>
      <c r="P37" s="42"/>
      <c r="Q37" s="42"/>
      <c r="R37" s="42"/>
      <c r="S37" s="42"/>
      <c r="T37" s="42"/>
      <c r="U37" s="42"/>
    </row>
    <row r="38" spans="1:21" x14ac:dyDescent="0.25">
      <c r="L38" s="13"/>
      <c r="M38" s="13"/>
      <c r="N38" s="13"/>
      <c r="O38" s="13"/>
      <c r="P38" s="13"/>
      <c r="Q38" s="13"/>
      <c r="R38" s="13"/>
      <c r="S38" s="13"/>
      <c r="T38" s="13"/>
    </row>
    <row r="39" spans="1:21" x14ac:dyDescent="0.25">
      <c r="L39" s="43"/>
      <c r="M39" s="13"/>
      <c r="N39" s="13"/>
      <c r="O39" s="13"/>
      <c r="P39" s="13"/>
      <c r="Q39" s="13"/>
      <c r="R39" s="13"/>
      <c r="S39" s="13"/>
      <c r="T39" s="13"/>
    </row>
    <row r="40" spans="1:21" x14ac:dyDescent="0.25">
      <c r="A40" s="13"/>
      <c r="B40" s="13"/>
      <c r="C40" s="13"/>
      <c r="D40" s="13"/>
      <c r="E40" s="13"/>
      <c r="F40" s="13"/>
      <c r="G40" s="13"/>
      <c r="H40" s="13"/>
      <c r="I40" s="13"/>
    </row>
    <row r="41" spans="1:21" x14ac:dyDescent="0.25">
      <c r="A41" s="13"/>
      <c r="B41" s="21"/>
      <c r="C41" s="21"/>
      <c r="D41" s="21"/>
      <c r="E41" s="13"/>
      <c r="F41" s="13"/>
      <c r="G41" s="13"/>
      <c r="H41" s="13"/>
      <c r="I41" s="13"/>
    </row>
    <row r="42" spans="1:21" ht="15" customHeight="1" x14ac:dyDescent="0.25"/>
    <row r="44" spans="1:21" x14ac:dyDescent="0.25">
      <c r="A44" s="13"/>
      <c r="B44" s="13"/>
      <c r="C44" s="13"/>
      <c r="D44" s="13"/>
      <c r="E44" s="13"/>
      <c r="F44" s="13"/>
      <c r="G44" s="13"/>
      <c r="H44" s="13"/>
      <c r="I44" s="13"/>
    </row>
    <row r="45" spans="1:21" x14ac:dyDescent="0.25">
      <c r="A45" s="13"/>
      <c r="B45" s="13"/>
      <c r="C45" s="13"/>
      <c r="D45" s="13"/>
      <c r="E45" s="13"/>
      <c r="F45" s="13"/>
      <c r="G45" s="20"/>
      <c r="H45" s="13"/>
      <c r="I45" s="13"/>
    </row>
    <row r="47" spans="1:21" x14ac:dyDescent="0.25">
      <c r="A47" s="13"/>
      <c r="B47" s="13"/>
      <c r="C47" s="13"/>
      <c r="D47" s="13"/>
      <c r="E47" s="13"/>
      <c r="F47" s="13"/>
      <c r="G47" s="13"/>
      <c r="H47" s="13"/>
      <c r="I47" s="13"/>
    </row>
    <row r="49" spans="1:9" x14ac:dyDescent="0.25">
      <c r="A49" s="13"/>
      <c r="B49" s="13"/>
      <c r="C49" s="13"/>
      <c r="D49" s="13"/>
      <c r="E49" s="13"/>
      <c r="F49" s="13"/>
      <c r="G49" s="13"/>
      <c r="H49" s="13"/>
      <c r="I49" s="13"/>
    </row>
    <row r="50" spans="1:9" x14ac:dyDescent="0.25">
      <c r="A50" s="24"/>
      <c r="B50" s="22"/>
      <c r="C50" s="22"/>
      <c r="D50" s="22"/>
      <c r="E50" s="19"/>
      <c r="F50" s="19"/>
      <c r="G50" s="19"/>
    </row>
    <row r="51" spans="1:9" x14ac:dyDescent="0.25">
      <c r="D51" s="22"/>
      <c r="E51" s="19"/>
      <c r="F51" s="19"/>
      <c r="G51" s="19"/>
    </row>
    <row r="53" spans="1:9" x14ac:dyDescent="0.25">
      <c r="A53" s="25"/>
      <c r="B53" s="20"/>
      <c r="C53" s="20"/>
      <c r="D53" s="20"/>
      <c r="E53" s="13"/>
      <c r="F53" s="13"/>
      <c r="G53" s="13"/>
    </row>
    <row r="54" spans="1:9" x14ac:dyDescent="0.25">
      <c r="A54" s="25"/>
      <c r="B54" s="13"/>
      <c r="C54" s="13"/>
      <c r="D54" s="13"/>
      <c r="E54" s="13"/>
      <c r="F54" s="13"/>
      <c r="G54" s="13"/>
    </row>
    <row r="55" spans="1:9" x14ac:dyDescent="0.25">
      <c r="A55" s="13"/>
      <c r="B55" s="13"/>
      <c r="C55" s="13"/>
      <c r="D55" s="13"/>
      <c r="E55" s="13"/>
      <c r="F55" s="13"/>
      <c r="G55" s="13"/>
    </row>
    <row r="56" spans="1:9" x14ac:dyDescent="0.25">
      <c r="A56" s="13"/>
      <c r="B56" s="20"/>
      <c r="C56" s="20"/>
      <c r="D56" s="20"/>
      <c r="E56" s="13"/>
      <c r="F56" s="13"/>
      <c r="G56" s="13"/>
    </row>
    <row r="57" spans="1:9" x14ac:dyDescent="0.25">
      <c r="A57" s="13"/>
      <c r="B57" s="20"/>
      <c r="C57" s="20"/>
      <c r="D57" s="20"/>
      <c r="E57" s="13"/>
      <c r="F57" s="13"/>
      <c r="G57" s="13"/>
    </row>
    <row r="58" spans="1:9" x14ac:dyDescent="0.25">
      <c r="A58" s="13"/>
      <c r="B58" s="13"/>
      <c r="C58" s="13"/>
      <c r="D58" s="13"/>
      <c r="E58" s="13"/>
      <c r="F58" s="13"/>
      <c r="G58" s="13"/>
    </row>
    <row r="59" spans="1:9" x14ac:dyDescent="0.25">
      <c r="A59" s="13"/>
      <c r="B59" s="23"/>
      <c r="C59" s="23"/>
      <c r="D59" s="23"/>
      <c r="E59" s="13"/>
      <c r="F59" s="13"/>
      <c r="G59" s="13"/>
    </row>
    <row r="60" spans="1:9" x14ac:dyDescent="0.25">
      <c r="A60" s="13"/>
      <c r="B60" s="23"/>
      <c r="C60" s="23"/>
      <c r="D60" s="23"/>
      <c r="E60" s="13"/>
      <c r="F60" s="13"/>
      <c r="G60" s="13"/>
    </row>
    <row r="62" spans="1:9" ht="30" x14ac:dyDescent="0.25">
      <c r="A62" s="16" t="s">
        <v>105</v>
      </c>
      <c r="B62" s="17">
        <v>22164.414148364856</v>
      </c>
      <c r="C62" s="11" t="s">
        <v>106</v>
      </c>
      <c r="D62" s="11"/>
      <c r="E62" s="11"/>
      <c r="F62" s="11"/>
      <c r="G62" s="11"/>
    </row>
    <row r="63" spans="1:9" x14ac:dyDescent="0.25">
      <c r="A63" s="15" t="s">
        <v>107</v>
      </c>
      <c r="B63" s="12">
        <v>23040</v>
      </c>
      <c r="C63" s="11" t="s">
        <v>106</v>
      </c>
      <c r="D63" s="11"/>
      <c r="E63" s="11"/>
      <c r="F63" s="19"/>
      <c r="G63" s="19"/>
    </row>
    <row r="65" spans="1:7" x14ac:dyDescent="0.25">
      <c r="A65" s="15" t="s">
        <v>108</v>
      </c>
      <c r="B65" s="18">
        <v>96.199714185611356</v>
      </c>
      <c r="C65" s="11" t="s">
        <v>35</v>
      </c>
      <c r="D65" s="11"/>
      <c r="E65" s="11"/>
      <c r="F65" s="11"/>
      <c r="G65" s="11"/>
    </row>
  </sheetData>
  <sheetProtection password="CB3B" sheet="1" objects="1" scenarios="1"/>
  <mergeCells count="4">
    <mergeCell ref="A1:P2"/>
    <mergeCell ref="L3:P3"/>
    <mergeCell ref="A3:J3"/>
    <mergeCell ref="A4:J4"/>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zoomScale="90" zoomScaleNormal="90" workbookViewId="0">
      <selection activeCell="O13" activeCellId="7" sqref="B16 I18 L23 L25 L27 O5 O6 O13"/>
    </sheetView>
  </sheetViews>
  <sheetFormatPr baseColWidth="10" defaultRowHeight="15" x14ac:dyDescent="0.25"/>
  <cols>
    <col min="1" max="1" width="20.140625" bestFit="1" customWidth="1"/>
    <col min="4" max="4" width="10.7109375" customWidth="1"/>
    <col min="5" max="5" width="19.85546875" bestFit="1" customWidth="1"/>
    <col min="7" max="7" width="14" customWidth="1"/>
    <col min="8" max="8" width="10.7109375" customWidth="1"/>
    <col min="9" max="9" width="20.42578125" bestFit="1" customWidth="1"/>
    <col min="10" max="11" width="9.7109375" customWidth="1"/>
    <col min="12" max="12" width="8.28515625" bestFit="1" customWidth="1"/>
    <col min="13" max="13" width="10.7109375" customWidth="1"/>
    <col min="14" max="14" width="18" bestFit="1" customWidth="1"/>
  </cols>
  <sheetData>
    <row r="1" spans="1:17" ht="15.95" customHeight="1" thickTop="1" x14ac:dyDescent="0.25">
      <c r="A1" s="308" t="s">
        <v>133</v>
      </c>
      <c r="B1" s="309"/>
      <c r="C1" s="309"/>
      <c r="D1" s="309"/>
      <c r="E1" s="309"/>
      <c r="F1" s="309"/>
      <c r="G1" s="309"/>
      <c r="H1" s="309"/>
      <c r="I1" s="309"/>
      <c r="J1" s="309"/>
      <c r="K1" s="309"/>
      <c r="L1" s="309"/>
      <c r="M1" s="309"/>
      <c r="N1" s="309"/>
      <c r="O1" s="309"/>
      <c r="P1" s="309"/>
      <c r="Q1" s="350"/>
    </row>
    <row r="2" spans="1:17" ht="15.95" customHeight="1" x14ac:dyDescent="0.25">
      <c r="A2" s="351"/>
      <c r="B2" s="352"/>
      <c r="C2" s="352"/>
      <c r="D2" s="352"/>
      <c r="E2" s="352"/>
      <c r="F2" s="352"/>
      <c r="G2" s="352"/>
      <c r="H2" s="352"/>
      <c r="I2" s="352"/>
      <c r="J2" s="352"/>
      <c r="K2" s="352"/>
      <c r="L2" s="352"/>
      <c r="M2" s="352"/>
      <c r="N2" s="352"/>
      <c r="O2" s="352"/>
      <c r="P2" s="352"/>
      <c r="Q2" s="353"/>
    </row>
    <row r="3" spans="1:17" ht="15.95" customHeight="1" x14ac:dyDescent="0.25">
      <c r="A3" s="354" t="s">
        <v>235</v>
      </c>
      <c r="B3" s="354"/>
      <c r="C3" s="354"/>
      <c r="D3" s="354"/>
      <c r="E3" s="354"/>
      <c r="F3" s="354"/>
      <c r="G3" s="354"/>
      <c r="H3" s="354"/>
      <c r="I3" s="354"/>
      <c r="J3" s="354"/>
      <c r="K3" s="354"/>
      <c r="L3" s="354"/>
      <c r="M3" s="96"/>
      <c r="N3" s="354" t="s">
        <v>239</v>
      </c>
      <c r="O3" s="354"/>
      <c r="P3" s="354"/>
      <c r="Q3" s="106"/>
    </row>
    <row r="4" spans="1:17" ht="15.95" customHeight="1" thickBot="1" x14ac:dyDescent="0.3">
      <c r="A4" s="358" t="s">
        <v>236</v>
      </c>
      <c r="B4" s="358"/>
      <c r="C4" s="358"/>
      <c r="D4" s="89" t="s">
        <v>134</v>
      </c>
      <c r="E4" s="360" t="s">
        <v>237</v>
      </c>
      <c r="F4" s="360"/>
      <c r="G4" s="360"/>
      <c r="H4" s="89"/>
      <c r="I4" s="358" t="s">
        <v>238</v>
      </c>
      <c r="J4" s="358"/>
      <c r="K4" s="358"/>
      <c r="L4" s="359"/>
      <c r="M4" s="96"/>
      <c r="N4" s="358" t="s">
        <v>240</v>
      </c>
      <c r="O4" s="359"/>
      <c r="P4" s="358"/>
      <c r="Q4" s="106"/>
    </row>
    <row r="5" spans="1:17" ht="15.95" customHeight="1" thickTop="1" thickBot="1" x14ac:dyDescent="0.3">
      <c r="A5" s="348" t="s">
        <v>135</v>
      </c>
      <c r="B5" s="349"/>
      <c r="C5" s="349"/>
      <c r="D5" s="115"/>
      <c r="E5" s="349" t="s">
        <v>135</v>
      </c>
      <c r="F5" s="349"/>
      <c r="G5" s="349"/>
      <c r="H5" s="115"/>
      <c r="I5" s="114"/>
      <c r="J5" s="114" t="str">
        <f>Eingabe!B3</f>
        <v>Buche</v>
      </c>
      <c r="K5" s="78" t="str">
        <f>Eingabe!G3</f>
        <v>Eiche</v>
      </c>
      <c r="L5" s="104"/>
      <c r="M5" s="96"/>
      <c r="N5" s="82" t="s">
        <v>241</v>
      </c>
      <c r="O5" s="275">
        <v>3</v>
      </c>
      <c r="P5" s="217" t="s">
        <v>246</v>
      </c>
      <c r="Q5" s="106"/>
    </row>
    <row r="6" spans="1:17" ht="15.95" customHeight="1" thickTop="1" thickBot="1" x14ac:dyDescent="0.3">
      <c r="A6" s="107" t="s">
        <v>136</v>
      </c>
      <c r="B6" s="78" t="str">
        <f>Eingabe!B3</f>
        <v>Buche</v>
      </c>
      <c r="C6" s="78" t="str">
        <f>Eingabe!G3</f>
        <v>Eiche</v>
      </c>
      <c r="D6" s="96"/>
      <c r="E6" s="78" t="s">
        <v>136</v>
      </c>
      <c r="F6" s="78" t="str">
        <f>Eingabe!B3</f>
        <v>Buche</v>
      </c>
      <c r="G6" s="78" t="str">
        <f>Eingabe!G3</f>
        <v>Eiche</v>
      </c>
      <c r="H6" s="96"/>
      <c r="I6" s="78" t="s">
        <v>162</v>
      </c>
      <c r="J6" s="65">
        <f>B9*(1-B8)*65*1.7*0.000278</f>
        <v>17.149803319999997</v>
      </c>
      <c r="K6" s="93">
        <f>C9*(1-C8)*65*1.7*0.000278</f>
        <v>17.253633539999999</v>
      </c>
      <c r="L6" s="128" t="s">
        <v>167</v>
      </c>
      <c r="M6" s="96"/>
      <c r="N6" s="82" t="s">
        <v>224</v>
      </c>
      <c r="O6" s="275">
        <v>0.5</v>
      </c>
      <c r="P6" s="218"/>
      <c r="Q6" s="106"/>
    </row>
    <row r="7" spans="1:17" ht="15.95" customHeight="1" thickTop="1" x14ac:dyDescent="0.25">
      <c r="A7" s="107" t="s">
        <v>137</v>
      </c>
      <c r="B7" s="52">
        <f>SUM(Eingabe!B14:E14)</f>
        <v>10000</v>
      </c>
      <c r="C7" s="52">
        <f>SUM(Eingabe!G14:J14)</f>
        <v>3333.333333333333</v>
      </c>
      <c r="D7" s="96"/>
      <c r="E7" s="78" t="s">
        <v>137</v>
      </c>
      <c r="F7" s="52">
        <v>1</v>
      </c>
      <c r="G7" s="52">
        <v>1</v>
      </c>
      <c r="H7" s="96"/>
      <c r="I7" s="78" t="s">
        <v>163</v>
      </c>
      <c r="J7" s="65">
        <f>B9*(1-B8)*0.8*65*4.187*0.000278</f>
        <v>33.791165412159998</v>
      </c>
      <c r="K7" s="93">
        <f>C9*(1-C8)*0.8*65*4.187*0.000278</f>
        <v>33.995747591520001</v>
      </c>
      <c r="L7" s="128" t="s">
        <v>167</v>
      </c>
      <c r="M7" s="96"/>
      <c r="N7" s="78" t="s">
        <v>21</v>
      </c>
      <c r="O7" s="219">
        <f>Trockenzeit!C37*0.8</f>
        <v>313.90360349326266</v>
      </c>
      <c r="P7" s="128" t="s">
        <v>106</v>
      </c>
      <c r="Q7" s="106"/>
    </row>
    <row r="8" spans="1:17" ht="15.95" customHeight="1" x14ac:dyDescent="0.25">
      <c r="A8" s="108" t="s">
        <v>138</v>
      </c>
      <c r="B8" s="50">
        <f>SUMIF(Datensammlung!B5:B52,Eingabe!B3,Datensammlung!K5:K52)/100</f>
        <v>0.17899999999999999</v>
      </c>
      <c r="C8" s="50">
        <f>SUMIF(Datensammlung!B5:B52,Eingabe!G3,Datensammlung!K5:K52)/100</f>
        <v>0.14899999999999999</v>
      </c>
      <c r="D8" s="96"/>
      <c r="E8" s="29" t="s">
        <v>138</v>
      </c>
      <c r="F8" s="50">
        <f>B8</f>
        <v>0.17899999999999999</v>
      </c>
      <c r="G8" s="50">
        <f>C8</f>
        <v>0.14899999999999999</v>
      </c>
      <c r="H8" s="96"/>
      <c r="I8" s="78" t="s">
        <v>164</v>
      </c>
      <c r="J8" s="65">
        <f>(Volumen!P22-Volumen!M11*Volumen!P20)/(Volumen!M11*Volumen!P20)*1.25*65*1.005*0.000278</f>
        <v>3.9363201441498283E-2</v>
      </c>
      <c r="K8" s="93">
        <f>(Volumen!P22-Volumen!M11*Volumen!P20)/(Volumen!M11*Volumen!P20)*1.25*65*1.005*0.000278</f>
        <v>3.9363201441498283E-2</v>
      </c>
      <c r="L8" s="128" t="s">
        <v>167</v>
      </c>
      <c r="M8" s="96"/>
      <c r="N8" s="78" t="s">
        <v>242</v>
      </c>
      <c r="O8" s="92">
        <f>ROUNDDOWN(Volumen!M21,0)</f>
        <v>10</v>
      </c>
      <c r="P8" s="128"/>
      <c r="Q8" s="106"/>
    </row>
    <row r="9" spans="1:17" ht="15.95" customHeight="1" x14ac:dyDescent="0.25">
      <c r="A9" s="107" t="s">
        <v>139</v>
      </c>
      <c r="B9" s="50">
        <f>SUMIF(Datensammlung!B5:B52,Eingabe!B3,Datensammlung!C5:C52)</f>
        <v>680</v>
      </c>
      <c r="C9" s="50">
        <f>SUMIF(Datensammlung!B5:B52,Eingabe!G3,Datensammlung!C5:C52)</f>
        <v>660</v>
      </c>
      <c r="D9" s="96"/>
      <c r="E9" s="78" t="s">
        <v>139</v>
      </c>
      <c r="F9" s="50">
        <f>B9</f>
        <v>680</v>
      </c>
      <c r="G9" s="50">
        <f>C9</f>
        <v>660</v>
      </c>
      <c r="H9" s="96"/>
      <c r="I9" s="78" t="s">
        <v>165</v>
      </c>
      <c r="J9" s="65">
        <f>200*0.39*8*65/1000/(Volumen!M11*Volumen!P20)</f>
        <v>0.43771043771043755</v>
      </c>
      <c r="K9" s="93">
        <f>200*0.39*8*65/1000/(Volumen!M11*Volumen!P20)</f>
        <v>0.43771043771043755</v>
      </c>
      <c r="L9" s="128" t="s">
        <v>167</v>
      </c>
      <c r="M9" s="96"/>
      <c r="N9" s="78" t="s">
        <v>243</v>
      </c>
      <c r="O9" s="187">
        <v>0.8</v>
      </c>
      <c r="P9" s="128"/>
      <c r="Q9" s="106"/>
    </row>
    <row r="10" spans="1:17" ht="15.95" customHeight="1" x14ac:dyDescent="0.25">
      <c r="A10" s="107" t="s">
        <v>140</v>
      </c>
      <c r="B10" s="77">
        <f>B7*(1-B8)*B9</f>
        <v>5582800</v>
      </c>
      <c r="C10" s="79">
        <f>C7*(1-C8)*C9</f>
        <v>1872200</v>
      </c>
      <c r="D10" s="96"/>
      <c r="E10" s="62" t="s">
        <v>229</v>
      </c>
      <c r="F10" s="64">
        <f>F7*(1-F8)*F9</f>
        <v>558.28</v>
      </c>
      <c r="G10" s="64">
        <f>G7*(1-G8)*G9</f>
        <v>561.66</v>
      </c>
      <c r="H10" s="96"/>
      <c r="I10" s="62" t="s">
        <v>166</v>
      </c>
      <c r="J10" s="66">
        <f>SUM(J6:J9)</f>
        <v>51.418042371311927</v>
      </c>
      <c r="K10" s="207">
        <f>SUM(K6:K9)</f>
        <v>51.726454770671928</v>
      </c>
      <c r="L10" s="128" t="s">
        <v>167</v>
      </c>
      <c r="M10" s="96"/>
      <c r="N10" s="78" t="s">
        <v>244</v>
      </c>
      <c r="O10" s="220">
        <f>O5*O6^3*O7*O8/O9</f>
        <v>1471.4231413746688</v>
      </c>
      <c r="P10" s="128" t="s">
        <v>247</v>
      </c>
      <c r="Q10" s="106"/>
    </row>
    <row r="11" spans="1:17" ht="15.95" customHeight="1" x14ac:dyDescent="0.25">
      <c r="A11" s="107" t="s">
        <v>141</v>
      </c>
      <c r="B11" s="340">
        <f>B10+C10</f>
        <v>7455000</v>
      </c>
      <c r="C11" s="340"/>
      <c r="D11" s="96"/>
      <c r="E11" s="101"/>
      <c r="F11" s="361"/>
      <c r="G11" s="361"/>
      <c r="H11" s="96"/>
      <c r="I11" s="101"/>
      <c r="J11" s="102"/>
      <c r="K11" s="102"/>
      <c r="L11" s="96"/>
      <c r="M11" s="96"/>
      <c r="N11" s="78" t="s">
        <v>245</v>
      </c>
      <c r="O11" s="220">
        <f>O10/Volumen!M25</f>
        <v>15.879123946458908</v>
      </c>
      <c r="P11" s="128" t="s">
        <v>167</v>
      </c>
      <c r="Q11" s="106"/>
    </row>
    <row r="12" spans="1:17" ht="15.95" customHeight="1" thickBot="1" x14ac:dyDescent="0.3">
      <c r="A12" s="109"/>
      <c r="B12" s="96"/>
      <c r="C12" s="96"/>
      <c r="D12" s="96"/>
      <c r="E12" s="96"/>
      <c r="F12" s="96"/>
      <c r="G12" s="96"/>
      <c r="H12" s="96"/>
      <c r="I12" s="96"/>
      <c r="J12" s="96"/>
      <c r="K12" s="96"/>
      <c r="L12" s="96"/>
      <c r="M12" s="96"/>
      <c r="N12" s="96"/>
      <c r="O12" s="96"/>
      <c r="P12" s="96"/>
      <c r="Q12" s="106"/>
    </row>
    <row r="13" spans="1:17" ht="15.95" customHeight="1" thickTop="1" thickBot="1" x14ac:dyDescent="0.3">
      <c r="A13" s="338" t="s">
        <v>142</v>
      </c>
      <c r="B13" s="339"/>
      <c r="C13" s="339"/>
      <c r="D13" s="96"/>
      <c r="E13" s="339" t="s">
        <v>142</v>
      </c>
      <c r="F13" s="339"/>
      <c r="G13" s="339"/>
      <c r="H13" s="96"/>
      <c r="I13" s="355" t="s">
        <v>256</v>
      </c>
      <c r="J13" s="356"/>
      <c r="K13" s="357"/>
      <c r="L13" s="211"/>
      <c r="M13" s="96"/>
      <c r="N13" s="82" t="s">
        <v>254</v>
      </c>
      <c r="O13" s="275">
        <v>0.13</v>
      </c>
      <c r="P13" s="213">
        <f>O11*O13</f>
        <v>2.0642861130396581</v>
      </c>
      <c r="Q13" s="110" t="s">
        <v>255</v>
      </c>
    </row>
    <row r="14" spans="1:17" ht="15.95" customHeight="1" thickTop="1" x14ac:dyDescent="0.25">
      <c r="A14" s="107" t="s">
        <v>143</v>
      </c>
      <c r="B14" s="78" t="str">
        <f>Eingabe!B3</f>
        <v>Buche</v>
      </c>
      <c r="C14" s="78" t="str">
        <f>Eingabe!G3</f>
        <v>Eiche</v>
      </c>
      <c r="D14" s="96"/>
      <c r="E14" s="78" t="s">
        <v>143</v>
      </c>
      <c r="F14" s="78" t="str">
        <f>Eingabe!B3</f>
        <v>Buche</v>
      </c>
      <c r="G14" s="78" t="str">
        <f>Eingabe!G3</f>
        <v>Eiche</v>
      </c>
      <c r="H14" s="96"/>
      <c r="I14" s="114" t="s">
        <v>264</v>
      </c>
      <c r="J14" s="212">
        <f>((J10+F33)*SUM(Eingabe!B14:E14)+(K10+G33)*SUM(Eingabe!G14:J14))/(SUM(Eingabe!B14:J14))</f>
        <v>621.802645471152</v>
      </c>
      <c r="K14" s="128" t="s">
        <v>167</v>
      </c>
      <c r="L14" s="96"/>
      <c r="M14" s="96"/>
      <c r="N14" s="104"/>
      <c r="O14" s="96"/>
      <c r="P14" s="96"/>
      <c r="Q14" s="106"/>
    </row>
    <row r="15" spans="1:17" ht="15.95" customHeight="1" x14ac:dyDescent="0.25">
      <c r="A15" s="107" t="s">
        <v>144</v>
      </c>
      <c r="B15" s="50">
        <f>B10</f>
        <v>5582800</v>
      </c>
      <c r="C15" s="50">
        <f>C10</f>
        <v>1872200</v>
      </c>
      <c r="D15" s="96"/>
      <c r="E15" s="78" t="s">
        <v>144</v>
      </c>
      <c r="F15" s="50">
        <f>F10</f>
        <v>558.28</v>
      </c>
      <c r="G15" s="50">
        <f>G10</f>
        <v>561.66</v>
      </c>
      <c r="H15" s="96"/>
      <c r="I15" s="96"/>
      <c r="J15" s="105"/>
      <c r="K15" s="96"/>
      <c r="L15" s="96"/>
      <c r="M15" s="96"/>
      <c r="N15" s="96"/>
      <c r="O15" s="96"/>
      <c r="P15" s="96"/>
      <c r="Q15" s="106"/>
    </row>
    <row r="16" spans="1:17" ht="15.95" customHeight="1" x14ac:dyDescent="0.25">
      <c r="A16" s="107" t="s">
        <v>145</v>
      </c>
      <c r="B16" s="276">
        <f>Eingabe!B24</f>
        <v>80</v>
      </c>
      <c r="C16" s="50">
        <f>Eingabe!G24</f>
        <v>80</v>
      </c>
      <c r="D16" s="96"/>
      <c r="E16" s="78" t="s">
        <v>145</v>
      </c>
      <c r="F16" s="50">
        <f>Eingabe!G24</f>
        <v>80</v>
      </c>
      <c r="G16" s="50">
        <f>C16</f>
        <v>80</v>
      </c>
      <c r="H16" s="96"/>
      <c r="I16" s="354" t="s">
        <v>298</v>
      </c>
      <c r="J16" s="354"/>
      <c r="K16" s="354"/>
      <c r="L16" s="96"/>
      <c r="M16" s="96"/>
      <c r="N16" s="96"/>
      <c r="O16" s="96"/>
      <c r="P16" s="96"/>
      <c r="Q16" s="106"/>
    </row>
    <row r="17" spans="1:17" ht="15.95" customHeight="1" thickBot="1" x14ac:dyDescent="0.3">
      <c r="A17" s="107" t="s">
        <v>146</v>
      </c>
      <c r="B17" s="50">
        <f>Eingabe!B25</f>
        <v>12</v>
      </c>
      <c r="C17" s="50">
        <f>Eingabe!G25</f>
        <v>12</v>
      </c>
      <c r="D17" s="96"/>
      <c r="E17" s="78" t="s">
        <v>146</v>
      </c>
      <c r="F17" s="50">
        <f>Eingabe!G25</f>
        <v>12</v>
      </c>
      <c r="G17" s="50">
        <f>C17</f>
        <v>12</v>
      </c>
      <c r="H17" s="96"/>
      <c r="I17" s="209" t="s">
        <v>265</v>
      </c>
      <c r="J17" s="208">
        <f>SUMIF(I23:I28,I18,L23:L28)</f>
        <v>3.5135135135135137E-2</v>
      </c>
      <c r="K17" s="128" t="s">
        <v>266</v>
      </c>
      <c r="L17" s="96"/>
      <c r="M17" s="96"/>
      <c r="N17" s="96"/>
      <c r="O17" s="96"/>
      <c r="P17" s="96"/>
      <c r="Q17" s="106"/>
    </row>
    <row r="18" spans="1:17" ht="15.95" customHeight="1" thickTop="1" thickBot="1" x14ac:dyDescent="0.3">
      <c r="A18" s="107" t="s">
        <v>147</v>
      </c>
      <c r="B18" s="77">
        <f>B15*(B16/100-B17/100)</f>
        <v>3796304.0000000005</v>
      </c>
      <c r="C18" s="77">
        <f>C15*(C16/100-C17/100)</f>
        <v>1273096</v>
      </c>
      <c r="D18" s="96"/>
      <c r="E18" s="62" t="s">
        <v>147</v>
      </c>
      <c r="F18" s="63">
        <f>F15*(F16/100-F17/100)</f>
        <v>379.63040000000001</v>
      </c>
      <c r="G18" s="63">
        <f>G15*(G16/100-G17/100)</f>
        <v>381.92880000000002</v>
      </c>
      <c r="H18" s="96"/>
      <c r="I18" s="275" t="s">
        <v>289</v>
      </c>
      <c r="J18" s="210">
        <f>J17*J14</f>
        <v>21.847119976013449</v>
      </c>
      <c r="K18" s="128" t="s">
        <v>255</v>
      </c>
      <c r="L18" s="96"/>
      <c r="M18" s="96"/>
      <c r="N18" s="96"/>
      <c r="O18" s="96"/>
      <c r="P18" s="96"/>
      <c r="Q18" s="106"/>
    </row>
    <row r="19" spans="1:17" ht="15.95" customHeight="1" thickTop="1" x14ac:dyDescent="0.25">
      <c r="A19" s="107" t="s">
        <v>148</v>
      </c>
      <c r="B19" s="340">
        <f>B18+C18</f>
        <v>5069400</v>
      </c>
      <c r="C19" s="340"/>
      <c r="D19" s="96"/>
      <c r="E19" s="101"/>
      <c r="F19" s="327"/>
      <c r="G19" s="327"/>
      <c r="H19" s="96"/>
      <c r="I19" s="96"/>
      <c r="J19" s="96"/>
      <c r="K19" s="96"/>
      <c r="L19" s="96"/>
      <c r="M19" s="96"/>
      <c r="N19" s="96"/>
      <c r="O19" s="96"/>
      <c r="P19" s="96"/>
      <c r="Q19" s="106"/>
    </row>
    <row r="20" spans="1:17" ht="15.95" customHeight="1" x14ac:dyDescent="0.25">
      <c r="A20" s="109"/>
      <c r="B20" s="96"/>
      <c r="C20" s="96"/>
      <c r="D20" s="96"/>
      <c r="E20" s="96"/>
      <c r="F20" s="96"/>
      <c r="G20" s="96"/>
      <c r="H20" s="96"/>
      <c r="I20" s="96"/>
      <c r="J20" s="96"/>
      <c r="K20" s="96"/>
      <c r="L20" s="96"/>
      <c r="M20" s="96"/>
      <c r="N20" s="96"/>
      <c r="O20" s="96"/>
      <c r="P20" s="96"/>
      <c r="Q20" s="106"/>
    </row>
    <row r="21" spans="1:17" ht="15.95" customHeight="1" x14ac:dyDescent="0.25">
      <c r="A21" s="338" t="s">
        <v>149</v>
      </c>
      <c r="B21" s="339"/>
      <c r="C21" s="339"/>
      <c r="D21" s="96"/>
      <c r="E21" s="339" t="s">
        <v>149</v>
      </c>
      <c r="F21" s="339"/>
      <c r="G21" s="339"/>
      <c r="H21" s="96"/>
      <c r="I21" s="329" t="s">
        <v>291</v>
      </c>
      <c r="J21" s="330"/>
      <c r="K21" s="330"/>
      <c r="L21" s="330"/>
      <c r="M21" s="331"/>
      <c r="N21" s="96"/>
      <c r="O21" s="96"/>
      <c r="P21" s="96"/>
      <c r="Q21" s="106"/>
    </row>
    <row r="22" spans="1:17" ht="15.95" customHeight="1" thickBot="1" x14ac:dyDescent="0.3">
      <c r="A22" s="107" t="s">
        <v>150</v>
      </c>
      <c r="B22" s="78" t="str">
        <f>Eingabe!B3</f>
        <v>Buche</v>
      </c>
      <c r="C22" s="78" t="str">
        <f>Eingabe!G3</f>
        <v>Eiche</v>
      </c>
      <c r="D22" s="96"/>
      <c r="E22" s="78" t="s">
        <v>150</v>
      </c>
      <c r="F22" s="78" t="str">
        <f>Eingabe!B3</f>
        <v>Buche</v>
      </c>
      <c r="G22" s="78" t="str">
        <f>Eingabe!G3</f>
        <v>Eiche</v>
      </c>
      <c r="H22" s="96"/>
      <c r="I22" s="78" t="s">
        <v>265</v>
      </c>
      <c r="J22" s="318" t="s">
        <v>292</v>
      </c>
      <c r="K22" s="318"/>
      <c r="L22" s="328" t="s">
        <v>297</v>
      </c>
      <c r="M22" s="328"/>
      <c r="N22" s="96"/>
      <c r="O22" s="96"/>
      <c r="P22" s="96"/>
      <c r="Q22" s="106"/>
    </row>
    <row r="23" spans="1:17" ht="15.95" customHeight="1" thickTop="1" thickBot="1" x14ac:dyDescent="0.3">
      <c r="A23" s="107" t="s">
        <v>147</v>
      </c>
      <c r="B23" s="52">
        <f>B18</f>
        <v>3796304.0000000005</v>
      </c>
      <c r="C23" s="52">
        <f>C18</f>
        <v>1273096</v>
      </c>
      <c r="D23" s="96"/>
      <c r="E23" s="78" t="s">
        <v>147</v>
      </c>
      <c r="F23" s="52">
        <f>F18</f>
        <v>379.63040000000001</v>
      </c>
      <c r="G23" s="52">
        <f>G18</f>
        <v>381.92880000000002</v>
      </c>
      <c r="H23" s="96"/>
      <c r="I23" s="90"/>
      <c r="J23" s="332">
        <v>10</v>
      </c>
      <c r="K23" s="334" t="s">
        <v>295</v>
      </c>
      <c r="L23" s="277">
        <v>0.9</v>
      </c>
      <c r="M23" s="103" t="s">
        <v>293</v>
      </c>
      <c r="N23" s="96"/>
      <c r="O23" s="96"/>
      <c r="P23" s="96"/>
      <c r="Q23" s="106"/>
    </row>
    <row r="24" spans="1:17" ht="15.95" customHeight="1" thickTop="1" thickBot="1" x14ac:dyDescent="0.3">
      <c r="A24" s="107" t="s">
        <v>228</v>
      </c>
      <c r="B24" s="28">
        <f>IF(B9&gt;450,IF(Eingabe!B24&lt;Trockenzeit!D11,1.85,1.35),IF(Eingabe!B24&lt;Trockenzeit!D11,1.35,0.85))</f>
        <v>1.35</v>
      </c>
      <c r="C24" s="28">
        <f>IF(C9&gt;450,IF(Eingabe!G24&lt;Trockenzeit!J11,1.85,1.35),IF(Eingabe!G24&lt;Trockenzeit!J11,1.35,0.85))</f>
        <v>1.35</v>
      </c>
      <c r="D24" s="96"/>
      <c r="E24" s="78" t="s">
        <v>231</v>
      </c>
      <c r="F24" s="28">
        <f>IF(F9&gt;450,IF(Eingabe!G24&lt;Trockenzeit!I11,1.85,1.35),IF(Eingabe!G24&lt;Trockenzeit!I11,1.35,0.85))</f>
        <v>1.35</v>
      </c>
      <c r="G24" s="28">
        <f>IF(G9&gt;450,IF(Eingabe!L26&lt;Trockenzeit!O11,1.85,1.35),IF(Eingabe!L26&lt;Trockenzeit!O11,1.35,0.85))</f>
        <v>1.35</v>
      </c>
      <c r="H24" s="96"/>
      <c r="I24" s="91" t="s">
        <v>288</v>
      </c>
      <c r="J24" s="333"/>
      <c r="K24" s="335"/>
      <c r="L24" s="214">
        <f>L23/J23</f>
        <v>0.09</v>
      </c>
      <c r="M24" s="128" t="s">
        <v>266</v>
      </c>
      <c r="N24" s="96"/>
      <c r="O24" s="96"/>
      <c r="P24" s="96"/>
      <c r="Q24" s="106"/>
    </row>
    <row r="25" spans="1:17" ht="15.95" customHeight="1" thickTop="1" thickBot="1" x14ac:dyDescent="0.3">
      <c r="A25" s="107" t="s">
        <v>151</v>
      </c>
      <c r="B25" s="77">
        <f>B23*B24</f>
        <v>5125010.4000000013</v>
      </c>
      <c r="C25" s="77">
        <f>C23*C24</f>
        <v>1718679.6</v>
      </c>
      <c r="D25" s="96"/>
      <c r="E25" s="62" t="s">
        <v>230</v>
      </c>
      <c r="F25" s="63">
        <f>F23*F24</f>
        <v>512.50103999999999</v>
      </c>
      <c r="G25" s="63">
        <f>G23*G24</f>
        <v>515.60388000000012</v>
      </c>
      <c r="H25" s="96"/>
      <c r="I25" s="90"/>
      <c r="J25" s="332">
        <v>3.7</v>
      </c>
      <c r="K25" s="334" t="s">
        <v>296</v>
      </c>
      <c r="L25" s="275">
        <v>0.13</v>
      </c>
      <c r="M25" s="96" t="s">
        <v>294</v>
      </c>
      <c r="N25" s="96"/>
      <c r="O25" s="96"/>
      <c r="P25" s="96"/>
      <c r="Q25" s="106"/>
    </row>
    <row r="26" spans="1:17" ht="15.95" customHeight="1" thickTop="1" thickBot="1" x14ac:dyDescent="0.3">
      <c r="A26" s="107" t="s">
        <v>152</v>
      </c>
      <c r="B26" s="340">
        <f>B25+C25</f>
        <v>6843690.0000000019</v>
      </c>
      <c r="C26" s="340"/>
      <c r="D26" s="96"/>
      <c r="E26" s="101"/>
      <c r="F26" s="327"/>
      <c r="G26" s="327"/>
      <c r="H26" s="96"/>
      <c r="I26" s="91" t="s">
        <v>289</v>
      </c>
      <c r="J26" s="333"/>
      <c r="K26" s="335"/>
      <c r="L26" s="215">
        <f>L25/J25</f>
        <v>3.5135135135135137E-2</v>
      </c>
      <c r="M26" s="128" t="s">
        <v>266</v>
      </c>
      <c r="N26" s="96"/>
      <c r="O26" s="96"/>
      <c r="P26" s="96"/>
      <c r="Q26" s="106"/>
    </row>
    <row r="27" spans="1:17" ht="15.95" customHeight="1" thickTop="1" thickBot="1" x14ac:dyDescent="0.3">
      <c r="A27" s="341"/>
      <c r="B27" s="342"/>
      <c r="C27" s="342"/>
      <c r="D27" s="96"/>
      <c r="E27" s="345"/>
      <c r="F27" s="345"/>
      <c r="G27" s="345"/>
      <c r="H27" s="96"/>
      <c r="I27" s="90"/>
      <c r="J27" s="332">
        <v>10.4</v>
      </c>
      <c r="K27" s="334" t="s">
        <v>167</v>
      </c>
      <c r="L27" s="275">
        <v>0.62</v>
      </c>
      <c r="M27" s="96" t="s">
        <v>255</v>
      </c>
      <c r="N27" s="96"/>
      <c r="O27" s="96"/>
      <c r="P27" s="96"/>
      <c r="Q27" s="106"/>
    </row>
    <row r="28" spans="1:17" ht="15.95" customHeight="1" thickTop="1" x14ac:dyDescent="0.25">
      <c r="A28" s="347" t="s">
        <v>232</v>
      </c>
      <c r="B28" s="346"/>
      <c r="C28" s="346"/>
      <c r="D28" s="96"/>
      <c r="E28" s="346" t="s">
        <v>232</v>
      </c>
      <c r="F28" s="346"/>
      <c r="G28" s="346"/>
      <c r="H28" s="96"/>
      <c r="I28" s="91" t="s">
        <v>290</v>
      </c>
      <c r="J28" s="333"/>
      <c r="K28" s="335"/>
      <c r="L28" s="208">
        <f>L27/J27</f>
        <v>5.9615384615384612E-2</v>
      </c>
      <c r="M28" s="128" t="s">
        <v>266</v>
      </c>
      <c r="N28" s="96"/>
      <c r="O28" s="96"/>
      <c r="P28" s="96"/>
      <c r="Q28" s="106"/>
    </row>
    <row r="29" spans="1:17" ht="15.95" customHeight="1" x14ac:dyDescent="0.25">
      <c r="A29" s="347"/>
      <c r="B29" s="346"/>
      <c r="C29" s="346"/>
      <c r="D29" s="96"/>
      <c r="E29" s="346"/>
      <c r="F29" s="346"/>
      <c r="G29" s="346"/>
      <c r="H29" s="96"/>
      <c r="I29" s="96"/>
      <c r="J29" s="96"/>
      <c r="K29" s="96"/>
      <c r="L29" s="96"/>
      <c r="M29" s="96"/>
      <c r="N29" s="96"/>
      <c r="O29" s="96"/>
      <c r="P29" s="96"/>
      <c r="Q29" s="106"/>
    </row>
    <row r="30" spans="1:17" ht="15.95" customHeight="1" x14ac:dyDescent="0.25">
      <c r="A30" s="107" t="s">
        <v>158</v>
      </c>
      <c r="B30" s="78" t="str">
        <f>Eingabe!B3</f>
        <v>Buche</v>
      </c>
      <c r="C30" s="78" t="str">
        <f>Eingabe!G3</f>
        <v>Eiche</v>
      </c>
      <c r="D30" s="96"/>
      <c r="E30" s="78" t="s">
        <v>158</v>
      </c>
      <c r="F30" s="78" t="str">
        <f>Eingabe!B3</f>
        <v>Buche</v>
      </c>
      <c r="G30" s="78" t="str">
        <f>Eingabe!G3</f>
        <v>Eiche</v>
      </c>
      <c r="H30" s="96"/>
      <c r="I30" s="96"/>
      <c r="J30" s="96"/>
      <c r="K30" s="96"/>
      <c r="L30" s="96"/>
      <c r="M30" s="96"/>
      <c r="N30" s="96"/>
      <c r="O30" s="96"/>
      <c r="P30" s="96"/>
      <c r="Q30" s="106"/>
    </row>
    <row r="31" spans="1:17" ht="15.95" customHeight="1" x14ac:dyDescent="0.25">
      <c r="A31" s="107" t="s">
        <v>152</v>
      </c>
      <c r="B31" s="52">
        <f>B23</f>
        <v>3796304.0000000005</v>
      </c>
      <c r="C31" s="52">
        <f>C23</f>
        <v>1273096</v>
      </c>
      <c r="D31" s="96"/>
      <c r="E31" s="78" t="s">
        <v>152</v>
      </c>
      <c r="F31" s="52">
        <f>F25</f>
        <v>512.50103999999999</v>
      </c>
      <c r="G31" s="52">
        <f>G25</f>
        <v>515.60388000000012</v>
      </c>
      <c r="H31" s="96"/>
      <c r="I31" s="96"/>
      <c r="J31" s="96"/>
      <c r="K31" s="96"/>
      <c r="L31" s="96"/>
      <c r="M31" s="96"/>
      <c r="N31" s="96"/>
      <c r="O31" s="96"/>
      <c r="P31" s="96"/>
      <c r="Q31" s="106"/>
    </row>
    <row r="32" spans="1:17" ht="15.95" customHeight="1" x14ac:dyDescent="0.25">
      <c r="A32" s="107" t="s">
        <v>159</v>
      </c>
      <c r="B32" s="28">
        <v>10</v>
      </c>
      <c r="C32" s="28">
        <v>10</v>
      </c>
      <c r="D32" s="96"/>
      <c r="E32" s="78" t="s">
        <v>159</v>
      </c>
      <c r="F32" s="28">
        <v>10</v>
      </c>
      <c r="G32" s="28">
        <v>10</v>
      </c>
      <c r="H32" s="96"/>
      <c r="I32" s="96"/>
      <c r="J32" s="96"/>
      <c r="K32" s="96"/>
      <c r="L32" s="96"/>
      <c r="M32" s="96"/>
      <c r="N32" s="96"/>
      <c r="O32" s="96"/>
      <c r="P32" s="96"/>
      <c r="Q32" s="106"/>
    </row>
    <row r="33" spans="1:17" ht="15.95" customHeight="1" x14ac:dyDescent="0.25">
      <c r="A33" s="107" t="s">
        <v>151</v>
      </c>
      <c r="B33" s="77">
        <f>B31/(1-B32/100)</f>
        <v>4218115.555555556</v>
      </c>
      <c r="C33" s="77">
        <f>C31/(1-C32/100)</f>
        <v>1414551.111111111</v>
      </c>
      <c r="D33" s="96"/>
      <c r="E33" s="78" t="s">
        <v>151</v>
      </c>
      <c r="F33" s="61">
        <f>F31/(1-F32/100)</f>
        <v>569.44560000000001</v>
      </c>
      <c r="G33" s="61">
        <f>G31/(1-G32/100)</f>
        <v>572.89320000000009</v>
      </c>
      <c r="H33" s="96"/>
      <c r="I33" s="96"/>
      <c r="J33" s="96"/>
      <c r="K33" s="96"/>
      <c r="L33" s="96"/>
      <c r="M33" s="96"/>
      <c r="N33" s="96"/>
      <c r="O33" s="96"/>
      <c r="P33" s="96"/>
      <c r="Q33" s="106"/>
    </row>
    <row r="34" spans="1:17" ht="15.95" customHeight="1" x14ac:dyDescent="0.25">
      <c r="A34" s="107" t="s">
        <v>160</v>
      </c>
      <c r="B34" s="340">
        <f>B33+C33</f>
        <v>5632666.666666667</v>
      </c>
      <c r="C34" s="340"/>
      <c r="D34" s="96"/>
      <c r="E34" s="97"/>
      <c r="F34" s="97"/>
      <c r="G34" s="96"/>
      <c r="H34" s="96"/>
      <c r="I34" s="96"/>
      <c r="J34" s="96"/>
      <c r="K34" s="96"/>
      <c r="L34" s="96"/>
      <c r="M34" s="96"/>
      <c r="N34" s="96"/>
      <c r="O34" s="96"/>
      <c r="P34" s="96"/>
      <c r="Q34" s="106"/>
    </row>
    <row r="35" spans="1:17" ht="15.95" customHeight="1" x14ac:dyDescent="0.25">
      <c r="A35" s="107" t="s">
        <v>161</v>
      </c>
      <c r="B35" s="337">
        <f>B34/1000</f>
        <v>5632.666666666667</v>
      </c>
      <c r="C35" s="337"/>
      <c r="D35" s="96"/>
      <c r="E35" s="98"/>
      <c r="F35" s="98"/>
      <c r="G35" s="96"/>
      <c r="H35" s="96"/>
      <c r="I35" s="96"/>
      <c r="J35" s="96"/>
      <c r="K35" s="96"/>
      <c r="L35" s="96"/>
      <c r="M35" s="96"/>
      <c r="N35" s="96"/>
      <c r="O35" s="96"/>
      <c r="P35" s="96"/>
      <c r="Q35" s="106"/>
    </row>
    <row r="36" spans="1:17" ht="15.95" customHeight="1" x14ac:dyDescent="0.25">
      <c r="A36" s="109"/>
      <c r="B36" s="96"/>
      <c r="C36" s="96"/>
      <c r="D36" s="96"/>
      <c r="E36" s="96"/>
      <c r="F36" s="96"/>
      <c r="G36" s="96"/>
      <c r="H36" s="96"/>
      <c r="I36" s="96"/>
      <c r="J36" s="96"/>
      <c r="K36" s="96"/>
      <c r="L36" s="96"/>
      <c r="M36" s="96"/>
      <c r="N36" s="96"/>
      <c r="O36" s="96"/>
      <c r="P36" s="96"/>
      <c r="Q36" s="106"/>
    </row>
    <row r="37" spans="1:17" ht="15.95" customHeight="1" x14ac:dyDescent="0.25">
      <c r="A37" s="109"/>
      <c r="B37" s="96"/>
      <c r="C37" s="96"/>
      <c r="D37" s="96"/>
      <c r="E37" s="96"/>
      <c r="F37" s="96"/>
      <c r="G37" s="96"/>
      <c r="H37" s="96"/>
      <c r="I37" s="96"/>
      <c r="J37" s="96"/>
      <c r="K37" s="96"/>
      <c r="L37" s="96"/>
      <c r="M37" s="96"/>
      <c r="N37" s="96"/>
      <c r="O37" s="96"/>
      <c r="P37" s="96"/>
      <c r="Q37" s="106"/>
    </row>
    <row r="38" spans="1:17" ht="15.95" customHeight="1" x14ac:dyDescent="0.25">
      <c r="A38" s="338" t="s">
        <v>156</v>
      </c>
      <c r="B38" s="339"/>
      <c r="C38" s="339"/>
      <c r="D38" s="96"/>
      <c r="E38" s="99"/>
      <c r="F38" s="99"/>
      <c r="G38" s="96"/>
      <c r="H38" s="96"/>
      <c r="I38" s="96"/>
      <c r="J38" s="96"/>
      <c r="K38" s="96"/>
      <c r="L38" s="96"/>
      <c r="M38" s="96"/>
      <c r="N38" s="96"/>
      <c r="O38" s="96"/>
      <c r="P38" s="96"/>
      <c r="Q38" s="106"/>
    </row>
    <row r="39" spans="1:17" ht="15.95" customHeight="1" x14ac:dyDescent="0.25">
      <c r="A39" s="107" t="s">
        <v>153</v>
      </c>
      <c r="B39" s="344">
        <f>B34</f>
        <v>5632666.666666667</v>
      </c>
      <c r="C39" s="344"/>
      <c r="D39" s="96"/>
      <c r="E39" s="97"/>
      <c r="F39" s="97"/>
      <c r="G39" s="96"/>
      <c r="H39" s="96"/>
      <c r="I39" s="96"/>
      <c r="J39" s="96"/>
      <c r="K39" s="96"/>
      <c r="L39" s="96"/>
      <c r="M39" s="96"/>
      <c r="N39" s="96"/>
      <c r="O39" s="96"/>
      <c r="P39" s="96"/>
      <c r="Q39" s="106"/>
    </row>
    <row r="40" spans="1:17" ht="15.95" customHeight="1" x14ac:dyDescent="0.25">
      <c r="A40" s="107" t="s">
        <v>157</v>
      </c>
      <c r="B40" s="319">
        <f>Eingabe!B29*24</f>
        <v>7680</v>
      </c>
      <c r="C40" s="319"/>
      <c r="D40" s="96"/>
      <c r="E40" s="100"/>
      <c r="F40" s="100"/>
      <c r="G40" s="96"/>
      <c r="H40" s="96"/>
      <c r="I40" s="96"/>
      <c r="J40" s="96"/>
      <c r="K40" s="96"/>
      <c r="L40" s="96"/>
      <c r="M40" s="96"/>
      <c r="N40" s="96"/>
      <c r="O40" s="96"/>
      <c r="P40" s="96"/>
      <c r="Q40" s="106"/>
    </row>
    <row r="41" spans="1:17" ht="15.95" customHeight="1" x14ac:dyDescent="0.25">
      <c r="A41" s="107" t="s">
        <v>233</v>
      </c>
      <c r="B41" s="343">
        <f>B39/B40</f>
        <v>733.42013888888891</v>
      </c>
      <c r="C41" s="343"/>
      <c r="D41" s="96"/>
      <c r="E41" s="98"/>
      <c r="F41" s="98"/>
      <c r="G41" s="96"/>
      <c r="H41" s="96"/>
      <c r="I41" s="96"/>
      <c r="J41" s="96"/>
      <c r="K41" s="96"/>
      <c r="L41" s="96"/>
      <c r="M41" s="96"/>
      <c r="N41" s="96"/>
      <c r="O41" s="96"/>
      <c r="P41" s="96"/>
      <c r="Q41" s="106"/>
    </row>
    <row r="42" spans="1:17" ht="15.95" customHeight="1" thickBot="1" x14ac:dyDescent="0.3">
      <c r="A42" s="109"/>
      <c r="B42" s="96"/>
      <c r="C42" s="96"/>
      <c r="D42" s="96"/>
      <c r="E42" s="96"/>
      <c r="F42" s="96"/>
      <c r="G42" s="96"/>
      <c r="H42" s="96"/>
      <c r="I42" s="96"/>
      <c r="J42" s="96"/>
      <c r="K42" s="96"/>
      <c r="L42" s="96"/>
      <c r="M42" s="96"/>
      <c r="N42" s="96"/>
      <c r="O42" s="96"/>
      <c r="P42" s="96"/>
      <c r="Q42" s="106"/>
    </row>
    <row r="43" spans="1:17" ht="15.75" thickTop="1" x14ac:dyDescent="0.25">
      <c r="A43" s="249"/>
      <c r="B43" s="264"/>
      <c r="C43" s="264"/>
      <c r="D43" s="249"/>
      <c r="E43" s="336"/>
      <c r="F43" s="336"/>
      <c r="G43" s="249"/>
      <c r="H43" s="249"/>
      <c r="I43" s="249"/>
      <c r="J43" s="249"/>
      <c r="K43" s="249"/>
      <c r="L43" s="249"/>
      <c r="M43" s="249"/>
      <c r="N43" s="249"/>
      <c r="O43" s="249"/>
      <c r="P43" s="249"/>
      <c r="Q43" s="249"/>
    </row>
    <row r="44" spans="1:17" x14ac:dyDescent="0.25">
      <c r="A44" s="96"/>
      <c r="B44" s="96"/>
      <c r="C44" s="96"/>
      <c r="D44" s="96"/>
      <c r="E44" s="96"/>
      <c r="F44" s="96"/>
      <c r="G44" s="96"/>
      <c r="H44" s="96"/>
      <c r="I44" s="96"/>
      <c r="J44" s="96"/>
      <c r="K44" s="96"/>
      <c r="L44" s="96"/>
      <c r="M44" s="96"/>
      <c r="N44" s="96"/>
      <c r="O44" s="96"/>
      <c r="P44" s="96"/>
      <c r="Q44" s="96"/>
    </row>
    <row r="45" spans="1:17" x14ac:dyDescent="0.25">
      <c r="A45" s="96"/>
      <c r="B45" s="96"/>
      <c r="C45" s="96"/>
      <c r="D45" s="96"/>
      <c r="E45" s="96"/>
      <c r="F45" s="96"/>
      <c r="G45" s="96"/>
      <c r="H45" s="96"/>
      <c r="I45" s="96"/>
      <c r="J45" s="96"/>
      <c r="K45" s="96"/>
      <c r="L45" s="96"/>
      <c r="M45" s="96"/>
      <c r="N45" s="96"/>
      <c r="O45" s="96"/>
      <c r="P45" s="96"/>
      <c r="Q45" s="96"/>
    </row>
    <row r="46" spans="1:17" x14ac:dyDescent="0.25">
      <c r="A46" s="96"/>
      <c r="B46" s="96"/>
      <c r="C46" s="96"/>
      <c r="D46" s="96"/>
      <c r="E46" s="96"/>
      <c r="F46" s="96"/>
      <c r="G46" s="96"/>
      <c r="H46" s="96"/>
      <c r="I46" s="96"/>
      <c r="J46" s="96"/>
      <c r="K46" s="96"/>
      <c r="L46" s="96"/>
      <c r="M46" s="96"/>
      <c r="N46" s="96"/>
      <c r="O46" s="96"/>
      <c r="P46" s="96"/>
      <c r="Q46" s="96"/>
    </row>
    <row r="47" spans="1:17" x14ac:dyDescent="0.25">
      <c r="A47" s="96"/>
      <c r="B47" s="96"/>
      <c r="C47" s="96"/>
      <c r="D47" s="96"/>
      <c r="E47" s="96"/>
      <c r="F47" s="96"/>
      <c r="G47" s="96"/>
      <c r="H47" s="96"/>
      <c r="I47" s="96"/>
      <c r="J47" s="96"/>
      <c r="K47" s="96"/>
      <c r="L47" s="96"/>
      <c r="M47" s="96"/>
      <c r="N47" s="96"/>
      <c r="O47" s="96"/>
      <c r="P47" s="96"/>
      <c r="Q47" s="96"/>
    </row>
    <row r="48" spans="1:17" x14ac:dyDescent="0.25">
      <c r="A48" s="96"/>
      <c r="B48" s="96"/>
      <c r="C48" s="96"/>
      <c r="D48" s="96"/>
      <c r="E48" s="96"/>
      <c r="F48" s="96"/>
      <c r="G48" s="96"/>
      <c r="H48" s="96"/>
      <c r="I48" s="96"/>
      <c r="J48" s="96"/>
      <c r="K48" s="96"/>
      <c r="L48" s="96"/>
      <c r="M48" s="96"/>
      <c r="N48" s="96"/>
      <c r="O48" s="96"/>
      <c r="P48" s="96"/>
      <c r="Q48" s="96"/>
    </row>
    <row r="49" spans="1:17" x14ac:dyDescent="0.25">
      <c r="A49" s="96"/>
      <c r="B49" s="96"/>
      <c r="C49" s="96"/>
      <c r="D49" s="96"/>
      <c r="E49" s="96"/>
      <c r="F49" s="96"/>
      <c r="G49" s="96"/>
      <c r="H49" s="96"/>
      <c r="I49" s="96"/>
      <c r="J49" s="96"/>
      <c r="K49" s="96"/>
      <c r="L49" s="96"/>
      <c r="M49" s="96"/>
      <c r="N49" s="96"/>
      <c r="O49" s="96"/>
      <c r="P49" s="96"/>
      <c r="Q49" s="96"/>
    </row>
    <row r="50" spans="1:17" x14ac:dyDescent="0.25">
      <c r="A50" s="96"/>
      <c r="B50" s="96"/>
      <c r="C50" s="96"/>
      <c r="D50" s="96"/>
      <c r="E50" s="96"/>
      <c r="F50" s="96"/>
      <c r="G50" s="96"/>
      <c r="H50" s="96"/>
      <c r="I50" s="96"/>
      <c r="J50" s="96"/>
      <c r="K50" s="96"/>
      <c r="L50" s="96"/>
      <c r="M50" s="96"/>
      <c r="N50" s="96"/>
      <c r="O50" s="96"/>
      <c r="P50" s="96"/>
      <c r="Q50" s="96"/>
    </row>
    <row r="51" spans="1:17" x14ac:dyDescent="0.25">
      <c r="A51" s="96"/>
      <c r="B51" s="96"/>
      <c r="C51" s="96"/>
      <c r="D51" s="96"/>
      <c r="E51" s="96"/>
      <c r="F51" s="96"/>
      <c r="G51" s="96"/>
      <c r="H51" s="96"/>
      <c r="I51" s="96"/>
      <c r="J51" s="96"/>
      <c r="K51" s="96"/>
      <c r="L51" s="96"/>
      <c r="M51" s="96"/>
      <c r="N51" s="96"/>
      <c r="O51" s="96"/>
      <c r="P51" s="96"/>
      <c r="Q51" s="96"/>
    </row>
    <row r="52" spans="1:17" x14ac:dyDescent="0.25">
      <c r="A52" s="96"/>
      <c r="B52" s="96"/>
      <c r="C52" s="96"/>
      <c r="D52" s="96"/>
      <c r="E52" s="96"/>
      <c r="F52" s="96"/>
      <c r="G52" s="96"/>
      <c r="H52" s="96"/>
      <c r="I52" s="96"/>
      <c r="J52" s="96"/>
      <c r="K52" s="96"/>
      <c r="L52" s="96"/>
      <c r="M52" s="96"/>
      <c r="N52" s="96"/>
      <c r="O52" s="96"/>
      <c r="P52" s="96"/>
      <c r="Q52" s="96"/>
    </row>
    <row r="53" spans="1:17" x14ac:dyDescent="0.25">
      <c r="A53" s="96"/>
      <c r="B53" s="96"/>
      <c r="C53" s="96"/>
      <c r="D53" s="96"/>
      <c r="E53" s="96"/>
      <c r="F53" s="96"/>
      <c r="G53" s="96"/>
      <c r="H53" s="96"/>
      <c r="I53" s="96"/>
      <c r="J53" s="96"/>
      <c r="K53" s="96"/>
      <c r="L53" s="96"/>
      <c r="M53" s="96"/>
      <c r="N53" s="96"/>
      <c r="O53" s="96"/>
      <c r="P53" s="96"/>
      <c r="Q53" s="96"/>
    </row>
    <row r="54" spans="1:17" x14ac:dyDescent="0.25">
      <c r="A54" s="96"/>
      <c r="B54" s="96"/>
      <c r="C54" s="96"/>
      <c r="D54" s="26"/>
      <c r="E54" s="96"/>
      <c r="F54" s="96"/>
      <c r="G54" s="96"/>
      <c r="H54" s="96"/>
      <c r="I54" s="96"/>
      <c r="J54" s="96"/>
      <c r="K54" s="96"/>
      <c r="L54" s="96"/>
      <c r="M54" s="96"/>
      <c r="N54" s="96"/>
      <c r="O54" s="96"/>
      <c r="P54" s="96"/>
      <c r="Q54" s="96"/>
    </row>
    <row r="55" spans="1:17" x14ac:dyDescent="0.25">
      <c r="B55" s="40"/>
      <c r="C55" s="42"/>
    </row>
    <row r="56" spans="1:17" x14ac:dyDescent="0.25">
      <c r="A56" s="41"/>
      <c r="B56" s="40"/>
      <c r="C56" s="42"/>
    </row>
  </sheetData>
  <sheetProtection password="CB3B" sheet="1" objects="1" scenarios="1"/>
  <mergeCells count="41">
    <mergeCell ref="J25:J26"/>
    <mergeCell ref="K25:K26"/>
    <mergeCell ref="J27:J28"/>
    <mergeCell ref="K27:K28"/>
    <mergeCell ref="B34:C34"/>
    <mergeCell ref="B19:C19"/>
    <mergeCell ref="A5:C5"/>
    <mergeCell ref="B11:C11"/>
    <mergeCell ref="A13:C13"/>
    <mergeCell ref="A1:Q2"/>
    <mergeCell ref="I16:K16"/>
    <mergeCell ref="I13:K13"/>
    <mergeCell ref="N4:P4"/>
    <mergeCell ref="N3:P3"/>
    <mergeCell ref="E4:G4"/>
    <mergeCell ref="A4:C4"/>
    <mergeCell ref="A3:L3"/>
    <mergeCell ref="I4:L4"/>
    <mergeCell ref="E5:G5"/>
    <mergeCell ref="F11:G11"/>
    <mergeCell ref="E13:G13"/>
    <mergeCell ref="E43:F43"/>
    <mergeCell ref="B35:C35"/>
    <mergeCell ref="A21:C21"/>
    <mergeCell ref="B26:C26"/>
    <mergeCell ref="A27:C27"/>
    <mergeCell ref="B41:C41"/>
    <mergeCell ref="A38:C38"/>
    <mergeCell ref="B39:C39"/>
    <mergeCell ref="B40:C40"/>
    <mergeCell ref="F26:G26"/>
    <mergeCell ref="E27:G27"/>
    <mergeCell ref="E21:G21"/>
    <mergeCell ref="E28:G29"/>
    <mergeCell ref="A28:C29"/>
    <mergeCell ref="F19:G19"/>
    <mergeCell ref="J22:K22"/>
    <mergeCell ref="L22:M22"/>
    <mergeCell ref="I21:M21"/>
    <mergeCell ref="J23:J24"/>
    <mergeCell ref="K23:K24"/>
  </mergeCells>
  <dataValidations count="1">
    <dataValidation type="list" allowBlank="1" showInputMessage="1" showErrorMessage="1" promptTitle="Heizmedium wählen" sqref="I18">
      <formula1>"Öl, Hackschnitzel, Gas"</formula1>
    </dataValidation>
  </dataValidation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
  <sheetViews>
    <sheetView zoomScale="70" zoomScaleNormal="70" workbookViewId="0">
      <selection activeCell="C30" sqref="C30"/>
    </sheetView>
  </sheetViews>
  <sheetFormatPr baseColWidth="10" defaultRowHeight="15" x14ac:dyDescent="0.25"/>
  <cols>
    <col min="1" max="1" width="30.42578125" bestFit="1" customWidth="1"/>
    <col min="2" max="2" width="6" customWidth="1"/>
    <col min="3" max="3" width="9.7109375" customWidth="1"/>
    <col min="6" max="6" width="15.140625" customWidth="1"/>
    <col min="7" max="7" width="4.42578125" customWidth="1"/>
    <col min="9" max="9" width="4.42578125" customWidth="1"/>
    <col min="11" max="11" width="9.140625" customWidth="1"/>
    <col min="14" max="14" width="14.7109375" bestFit="1" customWidth="1"/>
  </cols>
  <sheetData>
    <row r="1" spans="1:20" s="76" customFormat="1" ht="15.95" customHeight="1" thickTop="1" x14ac:dyDescent="0.25">
      <c r="A1" s="362" t="s">
        <v>308</v>
      </c>
      <c r="B1" s="265"/>
      <c r="C1" s="265"/>
      <c r="D1" s="265"/>
      <c r="E1" s="265"/>
      <c r="F1" s="265"/>
      <c r="G1" s="265"/>
      <c r="H1" s="265"/>
      <c r="I1" s="265"/>
      <c r="J1" s="265"/>
      <c r="K1" s="265"/>
      <c r="L1" s="265"/>
      <c r="M1" s="265"/>
      <c r="N1" s="265"/>
      <c r="O1" s="265"/>
      <c r="P1" s="265"/>
      <c r="Q1" s="266"/>
      <c r="R1" s="249"/>
      <c r="S1" s="249"/>
      <c r="T1" s="160"/>
    </row>
    <row r="2" spans="1:20" s="76" customFormat="1" ht="15.95" customHeight="1" x14ac:dyDescent="0.25">
      <c r="A2" s="363"/>
      <c r="B2" s="267"/>
      <c r="C2" s="267"/>
      <c r="D2" s="267"/>
      <c r="E2" s="267"/>
      <c r="F2" s="267"/>
      <c r="G2" s="267"/>
      <c r="H2" s="267"/>
      <c r="I2" s="267"/>
      <c r="J2" s="267"/>
      <c r="K2" s="267"/>
      <c r="L2" s="267"/>
      <c r="M2" s="267"/>
      <c r="N2" s="267"/>
      <c r="O2" s="267"/>
      <c r="P2" s="267"/>
      <c r="Q2" s="268"/>
      <c r="R2" s="96"/>
      <c r="S2" s="96"/>
      <c r="T2" s="106"/>
    </row>
    <row r="3" spans="1:20" ht="15.95" customHeight="1" x14ac:dyDescent="0.25">
      <c r="A3" s="366" t="s">
        <v>250</v>
      </c>
      <c r="B3" s="367"/>
      <c r="C3" s="367"/>
      <c r="D3" s="368"/>
      <c r="E3" s="96"/>
      <c r="F3" s="96"/>
      <c r="G3" s="96"/>
      <c r="H3" s="96"/>
      <c r="I3" s="96"/>
      <c r="J3" s="96"/>
      <c r="K3" s="96"/>
      <c r="L3" s="96"/>
      <c r="M3" s="96"/>
      <c r="N3" s="96"/>
      <c r="O3" s="96"/>
      <c r="P3" s="96"/>
      <c r="Q3" s="96"/>
      <c r="R3" s="96"/>
      <c r="S3" s="96"/>
      <c r="T3" s="106"/>
    </row>
    <row r="4" spans="1:20" ht="15.95" customHeight="1" x14ac:dyDescent="0.25">
      <c r="A4" s="109"/>
      <c r="B4" s="96"/>
      <c r="C4" s="96"/>
      <c r="D4" s="146"/>
      <c r="E4" s="146"/>
      <c r="F4" s="146"/>
      <c r="G4" s="146"/>
      <c r="H4" s="146"/>
      <c r="I4" s="96"/>
      <c r="J4" s="96"/>
      <c r="K4" s="96"/>
      <c r="L4" s="96"/>
      <c r="M4" s="96"/>
      <c r="N4" s="96"/>
      <c r="O4" s="96"/>
      <c r="P4" s="96"/>
      <c r="Q4" s="96"/>
      <c r="R4" s="96"/>
      <c r="S4" s="96"/>
      <c r="T4" s="106"/>
    </row>
    <row r="5" spans="1:20" ht="15.95" customHeight="1" x14ac:dyDescent="0.25">
      <c r="A5" s="372" t="s">
        <v>185</v>
      </c>
      <c r="B5" s="373"/>
      <c r="C5" s="373"/>
      <c r="D5" s="374"/>
      <c r="E5" s="146"/>
      <c r="F5" s="146"/>
      <c r="G5" s="96"/>
      <c r="H5" s="96"/>
      <c r="I5" s="96"/>
      <c r="J5" s="96"/>
      <c r="K5" s="96"/>
      <c r="L5" s="96"/>
      <c r="M5" s="96"/>
      <c r="N5" s="96"/>
      <c r="O5" s="96"/>
      <c r="P5" s="225" t="s">
        <v>267</v>
      </c>
      <c r="Q5" s="225" t="s">
        <v>268</v>
      </c>
      <c r="R5" s="225" t="s">
        <v>269</v>
      </c>
      <c r="S5" s="225" t="s">
        <v>185</v>
      </c>
      <c r="T5" s="106"/>
    </row>
    <row r="6" spans="1:20" ht="15.95" customHeight="1" x14ac:dyDescent="0.25">
      <c r="A6" s="250" t="s">
        <v>155</v>
      </c>
      <c r="B6" s="92" t="s">
        <v>186</v>
      </c>
      <c r="C6" s="191"/>
      <c r="D6" s="228">
        <f>C29*C31/(C32*100)</f>
        <v>35</v>
      </c>
      <c r="E6" s="146" t="s">
        <v>283</v>
      </c>
      <c r="F6" s="146"/>
      <c r="G6" s="96"/>
      <c r="H6" s="96"/>
      <c r="I6" s="96"/>
      <c r="J6" s="96"/>
      <c r="K6" s="96"/>
      <c r="L6" s="96"/>
      <c r="M6" s="96"/>
      <c r="N6" s="96"/>
      <c r="O6" s="96"/>
      <c r="P6" s="225" t="s">
        <v>270</v>
      </c>
      <c r="Q6" s="225">
        <f>D12*C32</f>
        <v>81460.317460317456</v>
      </c>
      <c r="R6" s="225">
        <v>0</v>
      </c>
      <c r="S6" s="225"/>
      <c r="T6" s="106"/>
    </row>
    <row r="7" spans="1:20" ht="15.95" customHeight="1" x14ac:dyDescent="0.25">
      <c r="A7" s="250" t="s">
        <v>187</v>
      </c>
      <c r="B7" s="92" t="s">
        <v>188</v>
      </c>
      <c r="C7" s="191"/>
      <c r="D7" s="228">
        <f>C29*C33/(C32*100*2)</f>
        <v>4.2</v>
      </c>
      <c r="E7" s="146" t="s">
        <v>283</v>
      </c>
      <c r="F7" s="146"/>
      <c r="G7" s="96"/>
      <c r="H7" s="96"/>
      <c r="I7" s="96"/>
      <c r="J7" s="96"/>
      <c r="K7" s="96"/>
      <c r="L7" s="96"/>
      <c r="M7" s="96"/>
      <c r="N7" s="96"/>
      <c r="O7" s="96"/>
      <c r="P7" s="225" t="s">
        <v>271</v>
      </c>
      <c r="Q7" s="226">
        <f>D24+C56</f>
        <v>164.60207275571977</v>
      </c>
      <c r="R7" s="225">
        <v>270</v>
      </c>
      <c r="S7" s="225"/>
      <c r="T7" s="106"/>
    </row>
    <row r="8" spans="1:20" ht="15.95" customHeight="1" x14ac:dyDescent="0.25">
      <c r="A8" s="250" t="s">
        <v>189</v>
      </c>
      <c r="B8" s="92" t="s">
        <v>190</v>
      </c>
      <c r="C8" s="191"/>
      <c r="D8" s="228">
        <f>C34*C35*C33/(C32*100)</f>
        <v>0</v>
      </c>
      <c r="E8" s="146" t="s">
        <v>283</v>
      </c>
      <c r="F8" s="146"/>
      <c r="G8" s="96"/>
      <c r="H8" s="96"/>
      <c r="I8" s="96"/>
      <c r="J8" s="96"/>
      <c r="K8" s="96"/>
      <c r="L8" s="96"/>
      <c r="M8" s="96"/>
      <c r="N8" s="96"/>
      <c r="O8" s="96"/>
      <c r="P8" s="225">
        <v>0</v>
      </c>
      <c r="Q8" s="225">
        <f t="shared" ref="Q8:Q23" si="0">Q$6+Q$7*P8</f>
        <v>81460.317460317456</v>
      </c>
      <c r="R8" s="225">
        <f t="shared" ref="R8:R23" si="1">R$6+R$7*P8</f>
        <v>0</v>
      </c>
      <c r="S8" s="225">
        <f t="shared" ref="S8:S23" si="2">Q$6</f>
        <v>81460.317460317456</v>
      </c>
      <c r="T8" s="106"/>
    </row>
    <row r="9" spans="1:20" ht="15.95" customHeight="1" x14ac:dyDescent="0.25">
      <c r="A9" s="250" t="s">
        <v>191</v>
      </c>
      <c r="B9" s="92" t="s">
        <v>192</v>
      </c>
      <c r="C9" s="191"/>
      <c r="D9" s="228">
        <f>C36*C37*(C31+C33)/(C32*100)</f>
        <v>0</v>
      </c>
      <c r="E9" s="146" t="s">
        <v>283</v>
      </c>
      <c r="F9" s="146"/>
      <c r="G9" s="96"/>
      <c r="H9" s="96"/>
      <c r="I9" s="96"/>
      <c r="J9" s="96"/>
      <c r="K9" s="96"/>
      <c r="L9" s="96"/>
      <c r="M9" s="96"/>
      <c r="N9" s="96"/>
      <c r="O9" s="96"/>
      <c r="P9" s="225">
        <v>200</v>
      </c>
      <c r="Q9" s="225">
        <f t="shared" si="0"/>
        <v>114380.73201146141</v>
      </c>
      <c r="R9" s="225">
        <f t="shared" si="1"/>
        <v>54000</v>
      </c>
      <c r="S9" s="225">
        <f t="shared" si="2"/>
        <v>81460.317460317456</v>
      </c>
      <c r="T9" s="106"/>
    </row>
    <row r="10" spans="1:20" ht="15.95" customHeight="1" x14ac:dyDescent="0.25">
      <c r="A10" s="250" t="s">
        <v>195</v>
      </c>
      <c r="B10" s="92" t="s">
        <v>193</v>
      </c>
      <c r="C10" s="191"/>
      <c r="D10" s="228">
        <f>C29*C38/(C32*100)</f>
        <v>3.15</v>
      </c>
      <c r="E10" s="146" t="s">
        <v>283</v>
      </c>
      <c r="F10" s="146"/>
      <c r="G10" s="96"/>
      <c r="H10" s="96"/>
      <c r="I10" s="96"/>
      <c r="J10" s="96"/>
      <c r="K10" s="96"/>
      <c r="L10" s="96"/>
      <c r="M10" s="96"/>
      <c r="N10" s="96"/>
      <c r="O10" s="96"/>
      <c r="P10" s="225">
        <v>400</v>
      </c>
      <c r="Q10" s="225">
        <f t="shared" si="0"/>
        <v>147301.14656260537</v>
      </c>
      <c r="R10" s="225">
        <f t="shared" si="1"/>
        <v>108000</v>
      </c>
      <c r="S10" s="225">
        <f t="shared" si="2"/>
        <v>81460.317460317456</v>
      </c>
      <c r="T10" s="106"/>
    </row>
    <row r="11" spans="1:20" ht="15.95" customHeight="1" x14ac:dyDescent="0.25">
      <c r="A11" s="250" t="s">
        <v>196</v>
      </c>
      <c r="B11" s="92" t="s">
        <v>197</v>
      </c>
      <c r="C11" s="191"/>
      <c r="D11" s="228">
        <f>C39*C41*C42/(C32*100)</f>
        <v>0.41666666666666657</v>
      </c>
      <c r="E11" s="146" t="s">
        <v>283</v>
      </c>
      <c r="F11" s="146"/>
      <c r="G11" s="96"/>
      <c r="H11" s="96"/>
      <c r="I11" s="96"/>
      <c r="J11" s="96"/>
      <c r="K11" s="96"/>
      <c r="L11" s="96"/>
      <c r="M11" s="96"/>
      <c r="N11" s="96"/>
      <c r="O11" s="96"/>
      <c r="P11" s="225">
        <v>600</v>
      </c>
      <c r="Q11" s="225">
        <f t="shared" si="0"/>
        <v>180221.56111374934</v>
      </c>
      <c r="R11" s="225">
        <f t="shared" si="1"/>
        <v>162000</v>
      </c>
      <c r="S11" s="225">
        <f t="shared" si="2"/>
        <v>81460.317460317456</v>
      </c>
      <c r="T11" s="106"/>
    </row>
    <row r="12" spans="1:20" ht="15.95" customHeight="1" x14ac:dyDescent="0.25">
      <c r="A12" s="251" t="s">
        <v>199</v>
      </c>
      <c r="B12" s="125" t="s">
        <v>251</v>
      </c>
      <c r="C12" s="235"/>
      <c r="D12" s="229">
        <f>SUM(D6:D11)</f>
        <v>42.766666666666666</v>
      </c>
      <c r="E12" s="146" t="s">
        <v>283</v>
      </c>
      <c r="F12" s="146"/>
      <c r="G12" s="96"/>
      <c r="H12" s="96"/>
      <c r="I12" s="96"/>
      <c r="J12" s="96"/>
      <c r="K12" s="96"/>
      <c r="L12" s="96"/>
      <c r="M12" s="96"/>
      <c r="N12" s="96"/>
      <c r="O12" s="96"/>
      <c r="P12" s="225">
        <v>800</v>
      </c>
      <c r="Q12" s="225">
        <f t="shared" si="0"/>
        <v>213141.97566489328</v>
      </c>
      <c r="R12" s="225">
        <f t="shared" si="1"/>
        <v>216000</v>
      </c>
      <c r="S12" s="225">
        <f t="shared" si="2"/>
        <v>81460.317460317456</v>
      </c>
      <c r="T12" s="106"/>
    </row>
    <row r="13" spans="1:20" ht="15.95" customHeight="1" x14ac:dyDescent="0.25">
      <c r="A13" s="369"/>
      <c r="B13" s="370"/>
      <c r="C13" s="370"/>
      <c r="D13" s="371"/>
      <c r="E13" s="146"/>
      <c r="F13" s="146"/>
      <c r="G13" s="96"/>
      <c r="H13" s="96"/>
      <c r="I13" s="96"/>
      <c r="J13" s="96"/>
      <c r="K13" s="96"/>
      <c r="L13" s="96"/>
      <c r="M13" s="96"/>
      <c r="N13" s="96"/>
      <c r="O13" s="96"/>
      <c r="P13" s="225">
        <v>1000</v>
      </c>
      <c r="Q13" s="225">
        <f t="shared" si="0"/>
        <v>246062.39021603722</v>
      </c>
      <c r="R13" s="225">
        <f t="shared" si="1"/>
        <v>270000</v>
      </c>
      <c r="S13" s="225">
        <f t="shared" si="2"/>
        <v>81460.317460317456</v>
      </c>
      <c r="T13" s="106"/>
    </row>
    <row r="14" spans="1:20" ht="15.95" customHeight="1" x14ac:dyDescent="0.25">
      <c r="A14" s="372" t="s">
        <v>200</v>
      </c>
      <c r="B14" s="373"/>
      <c r="C14" s="373"/>
      <c r="D14" s="375"/>
      <c r="E14" s="146"/>
      <c r="F14" s="146"/>
      <c r="G14" s="96"/>
      <c r="H14" s="96"/>
      <c r="I14" s="96"/>
      <c r="J14" s="96"/>
      <c r="K14" s="96"/>
      <c r="L14" s="96"/>
      <c r="M14" s="96"/>
      <c r="N14" s="96"/>
      <c r="O14" s="96"/>
      <c r="P14" s="225">
        <v>1200</v>
      </c>
      <c r="Q14" s="225">
        <f t="shared" si="0"/>
        <v>278982.80476718117</v>
      </c>
      <c r="R14" s="225">
        <f t="shared" si="1"/>
        <v>324000</v>
      </c>
      <c r="S14" s="225">
        <f t="shared" si="2"/>
        <v>81460.317460317456</v>
      </c>
      <c r="T14" s="106"/>
    </row>
    <row r="15" spans="1:20" ht="15.95" customHeight="1" x14ac:dyDescent="0.25">
      <c r="A15" s="250" t="s">
        <v>201</v>
      </c>
      <c r="B15" s="92" t="s">
        <v>202</v>
      </c>
      <c r="C15" s="230"/>
      <c r="D15" s="65">
        <f>C43*C44+C45*C46</f>
        <v>3.8</v>
      </c>
      <c r="E15" s="146" t="s">
        <v>283</v>
      </c>
      <c r="F15" s="146"/>
      <c r="G15" s="96"/>
      <c r="H15" s="96"/>
      <c r="I15" s="96"/>
      <c r="J15" s="96"/>
      <c r="K15" s="96"/>
      <c r="L15" s="96"/>
      <c r="M15" s="96"/>
      <c r="N15" s="96"/>
      <c r="O15" s="96"/>
      <c r="P15" s="225">
        <v>1400</v>
      </c>
      <c r="Q15" s="225">
        <f t="shared" si="0"/>
        <v>311903.21931832517</v>
      </c>
      <c r="R15" s="225">
        <f t="shared" si="1"/>
        <v>378000</v>
      </c>
      <c r="S15" s="225">
        <f t="shared" si="2"/>
        <v>81460.317460317456</v>
      </c>
      <c r="T15" s="106"/>
    </row>
    <row r="16" spans="1:20" ht="15.95" customHeight="1" x14ac:dyDescent="0.25">
      <c r="A16" s="250" t="s">
        <v>203</v>
      </c>
      <c r="B16" s="92" t="s">
        <v>204</v>
      </c>
      <c r="C16" s="230"/>
      <c r="D16" s="65">
        <f>C47*C48*C49/C32</f>
        <v>3.0240000000000005</v>
      </c>
      <c r="E16" s="146" t="s">
        <v>283</v>
      </c>
      <c r="F16" s="146"/>
      <c r="G16" s="96"/>
      <c r="H16" s="96"/>
      <c r="I16" s="96"/>
      <c r="J16" s="96"/>
      <c r="K16" s="96"/>
      <c r="L16" s="96"/>
      <c r="M16" s="96"/>
      <c r="N16" s="96"/>
      <c r="O16" s="96"/>
      <c r="P16" s="225">
        <v>1600</v>
      </c>
      <c r="Q16" s="225">
        <f t="shared" si="0"/>
        <v>344823.63386946911</v>
      </c>
      <c r="R16" s="225">
        <f t="shared" si="1"/>
        <v>432000</v>
      </c>
      <c r="S16" s="225">
        <f t="shared" si="2"/>
        <v>81460.317460317456</v>
      </c>
      <c r="T16" s="106"/>
    </row>
    <row r="17" spans="1:20" ht="15.95" customHeight="1" x14ac:dyDescent="0.25">
      <c r="A17" s="250" t="s">
        <v>205</v>
      </c>
      <c r="B17" s="92" t="s">
        <v>206</v>
      </c>
      <c r="C17" s="230"/>
      <c r="D17" s="65">
        <f>C29*C50/(C32*100)</f>
        <v>2.1</v>
      </c>
      <c r="E17" s="146" t="s">
        <v>283</v>
      </c>
      <c r="F17" s="146"/>
      <c r="G17" s="96"/>
      <c r="H17" s="96"/>
      <c r="I17" s="96"/>
      <c r="J17" s="96"/>
      <c r="K17" s="96"/>
      <c r="L17" s="96"/>
      <c r="M17" s="96"/>
      <c r="N17" s="96"/>
      <c r="O17" s="96"/>
      <c r="P17" s="225">
        <v>1800</v>
      </c>
      <c r="Q17" s="225">
        <f t="shared" si="0"/>
        <v>377744.04842061305</v>
      </c>
      <c r="R17" s="225">
        <f t="shared" si="1"/>
        <v>486000</v>
      </c>
      <c r="S17" s="225">
        <f t="shared" si="2"/>
        <v>81460.317460317456</v>
      </c>
      <c r="T17" s="106"/>
    </row>
    <row r="18" spans="1:20" ht="15.95" customHeight="1" x14ac:dyDescent="0.25">
      <c r="A18" s="250" t="s">
        <v>208</v>
      </c>
      <c r="B18" s="92" t="s">
        <v>209</v>
      </c>
      <c r="C18" s="230"/>
      <c r="D18" s="65">
        <f>C51</f>
        <v>21.847119976013449</v>
      </c>
      <c r="E18" s="146" t="s">
        <v>283</v>
      </c>
      <c r="F18" s="146"/>
      <c r="G18" s="96"/>
      <c r="H18" s="96"/>
      <c r="I18" s="96"/>
      <c r="J18" s="96"/>
      <c r="K18" s="96"/>
      <c r="L18" s="96"/>
      <c r="M18" s="96"/>
      <c r="N18" s="96"/>
      <c r="O18" s="96"/>
      <c r="P18" s="225">
        <v>2000</v>
      </c>
      <c r="Q18" s="225">
        <f t="shared" si="0"/>
        <v>410664.46297175699</v>
      </c>
      <c r="R18" s="225">
        <f t="shared" si="1"/>
        <v>540000</v>
      </c>
      <c r="S18" s="225">
        <f t="shared" si="2"/>
        <v>81460.317460317456</v>
      </c>
      <c r="T18" s="106"/>
    </row>
    <row r="19" spans="1:20" ht="15.95" customHeight="1" x14ac:dyDescent="0.25">
      <c r="A19" s="250" t="s">
        <v>210</v>
      </c>
      <c r="B19" s="92" t="s">
        <v>212</v>
      </c>
      <c r="C19" s="230"/>
      <c r="D19" s="65">
        <f>Energiebedarf!P13</f>
        <v>2.0642861130396581</v>
      </c>
      <c r="E19" s="146" t="s">
        <v>283</v>
      </c>
      <c r="F19" s="146"/>
      <c r="G19" s="96"/>
      <c r="H19" s="96"/>
      <c r="I19" s="96"/>
      <c r="J19" s="96"/>
      <c r="K19" s="96"/>
      <c r="L19" s="96"/>
      <c r="M19" s="96"/>
      <c r="N19" s="96"/>
      <c r="O19" s="96"/>
      <c r="P19" s="225">
        <v>2200</v>
      </c>
      <c r="Q19" s="225">
        <f t="shared" si="0"/>
        <v>443584.87752290093</v>
      </c>
      <c r="R19" s="225">
        <f t="shared" si="1"/>
        <v>594000</v>
      </c>
      <c r="S19" s="225">
        <f t="shared" si="2"/>
        <v>81460.317460317456</v>
      </c>
      <c r="T19" s="106"/>
    </row>
    <row r="20" spans="1:20" ht="15.95" customHeight="1" x14ac:dyDescent="0.25">
      <c r="A20" s="250" t="s">
        <v>213</v>
      </c>
      <c r="B20" s="92" t="s">
        <v>214</v>
      </c>
      <c r="C20" s="230"/>
      <c r="D20" s="65">
        <f>C53*C33*C54/(12*100)</f>
        <v>0.9</v>
      </c>
      <c r="E20" s="146" t="s">
        <v>283</v>
      </c>
      <c r="F20" s="146"/>
      <c r="G20" s="96"/>
      <c r="H20" s="96"/>
      <c r="I20" s="96"/>
      <c r="J20" s="96"/>
      <c r="K20" s="96"/>
      <c r="L20" s="96"/>
      <c r="M20" s="96"/>
      <c r="N20" s="96"/>
      <c r="O20" s="96"/>
      <c r="P20" s="225">
        <v>2400</v>
      </c>
      <c r="Q20" s="225">
        <f t="shared" si="0"/>
        <v>476505.29207404493</v>
      </c>
      <c r="R20" s="225">
        <f t="shared" si="1"/>
        <v>648000</v>
      </c>
      <c r="S20" s="225">
        <f t="shared" si="2"/>
        <v>81460.317460317456</v>
      </c>
      <c r="T20" s="106"/>
    </row>
    <row r="21" spans="1:20" ht="15.95" customHeight="1" x14ac:dyDescent="0.25">
      <c r="A21" s="250" t="s">
        <v>216</v>
      </c>
      <c r="B21" s="92" t="s">
        <v>217</v>
      </c>
      <c r="C21" s="230"/>
      <c r="D21" s="65">
        <f>C53*C55/100</f>
        <v>8.1</v>
      </c>
      <c r="E21" s="146" t="s">
        <v>283</v>
      </c>
      <c r="F21" s="96"/>
      <c r="G21" s="96"/>
      <c r="H21" s="96"/>
      <c r="I21" s="96"/>
      <c r="J21" s="96"/>
      <c r="K21" s="96"/>
      <c r="L21" s="96"/>
      <c r="M21" s="96"/>
      <c r="N21" s="96"/>
      <c r="O21" s="96"/>
      <c r="P21" s="225">
        <v>2600</v>
      </c>
      <c r="Q21" s="225">
        <f t="shared" si="0"/>
        <v>509425.70662518888</v>
      </c>
      <c r="R21" s="225">
        <f t="shared" si="1"/>
        <v>702000</v>
      </c>
      <c r="S21" s="225">
        <f t="shared" si="2"/>
        <v>81460.317460317456</v>
      </c>
      <c r="T21" s="106"/>
    </row>
    <row r="22" spans="1:20" ht="15.95" customHeight="1" x14ac:dyDescent="0.25">
      <c r="A22" s="252" t="s">
        <v>219</v>
      </c>
      <c r="B22" s="125" t="s">
        <v>252</v>
      </c>
      <c r="C22" s="231"/>
      <c r="D22" s="74">
        <f>SUM(D15:D21)</f>
        <v>41.835406089053109</v>
      </c>
      <c r="E22" s="146" t="s">
        <v>283</v>
      </c>
      <c r="F22" s="96"/>
      <c r="G22" s="96"/>
      <c r="H22" s="96"/>
      <c r="I22" s="96"/>
      <c r="J22" s="96"/>
      <c r="K22" s="96"/>
      <c r="L22" s="96"/>
      <c r="M22" s="96"/>
      <c r="N22" s="96"/>
      <c r="O22" s="96"/>
      <c r="P22" s="225">
        <v>2800</v>
      </c>
      <c r="Q22" s="225">
        <f t="shared" si="0"/>
        <v>542346.12117633282</v>
      </c>
      <c r="R22" s="225">
        <f t="shared" si="1"/>
        <v>756000</v>
      </c>
      <c r="S22" s="225">
        <f t="shared" si="2"/>
        <v>81460.317460317456</v>
      </c>
      <c r="T22" s="106"/>
    </row>
    <row r="23" spans="1:20" ht="15.95" customHeight="1" x14ac:dyDescent="0.25">
      <c r="A23" s="253"/>
      <c r="B23" s="96"/>
      <c r="C23" s="96"/>
      <c r="D23" s="216"/>
      <c r="E23" s="146"/>
      <c r="F23" s="96"/>
      <c r="G23" s="96"/>
      <c r="H23" s="96"/>
      <c r="I23" s="96"/>
      <c r="J23" s="96"/>
      <c r="K23" s="96"/>
      <c r="L23" s="96"/>
      <c r="M23" s="96"/>
      <c r="N23" s="96"/>
      <c r="O23" s="96"/>
      <c r="P23" s="225">
        <v>3000</v>
      </c>
      <c r="Q23" s="225">
        <f t="shared" si="0"/>
        <v>575266.5357274767</v>
      </c>
      <c r="R23" s="225">
        <f t="shared" si="1"/>
        <v>810000</v>
      </c>
      <c r="S23" s="225">
        <f t="shared" si="2"/>
        <v>81460.317460317456</v>
      </c>
      <c r="T23" s="106"/>
    </row>
    <row r="24" spans="1:20" ht="15.95" customHeight="1" x14ac:dyDescent="0.25">
      <c r="A24" s="254" t="s">
        <v>220</v>
      </c>
      <c r="B24" s="233" t="s">
        <v>253</v>
      </c>
      <c r="C24" s="234"/>
      <c r="D24" s="232">
        <f>D12+D22</f>
        <v>84.602072755719774</v>
      </c>
      <c r="E24" s="146" t="s">
        <v>283</v>
      </c>
      <c r="F24" s="96"/>
      <c r="G24" s="96"/>
      <c r="H24" s="96"/>
      <c r="I24" s="96"/>
      <c r="J24" s="96"/>
      <c r="K24" s="96"/>
      <c r="L24" s="96"/>
      <c r="M24" s="96"/>
      <c r="N24" s="96"/>
      <c r="O24" s="96"/>
      <c r="P24" s="96"/>
      <c r="Q24" s="96"/>
      <c r="R24" s="96"/>
      <c r="S24" s="96"/>
      <c r="T24" s="106"/>
    </row>
    <row r="25" spans="1:20" ht="15.95" customHeight="1" x14ac:dyDescent="0.25">
      <c r="A25" s="109"/>
      <c r="B25" s="96"/>
      <c r="C25" s="96"/>
      <c r="D25" s="96"/>
      <c r="E25" s="146"/>
      <c r="F25" s="237" t="s">
        <v>273</v>
      </c>
      <c r="G25" s="238" t="s">
        <v>274</v>
      </c>
      <c r="H25" s="236">
        <f>(Q6-R6)/(R7-Q7)</f>
        <v>772.88348632812585</v>
      </c>
      <c r="I25" s="128" t="s">
        <v>154</v>
      </c>
      <c r="J25" s="96"/>
      <c r="K25" s="96"/>
      <c r="L25" s="96"/>
      <c r="M25" s="96"/>
      <c r="N25" s="96"/>
      <c r="O25" s="96"/>
      <c r="P25" s="96"/>
      <c r="Q25" s="96"/>
      <c r="R25" s="96"/>
      <c r="S25" s="96"/>
      <c r="T25" s="106"/>
    </row>
    <row r="26" spans="1:20" ht="15.95" customHeight="1" x14ac:dyDescent="0.25">
      <c r="A26" s="109"/>
      <c r="B26" s="96"/>
      <c r="C26" s="96"/>
      <c r="D26" s="105"/>
      <c r="E26" s="146"/>
      <c r="F26" s="237" t="s">
        <v>282</v>
      </c>
      <c r="G26" s="238"/>
      <c r="H26" s="236">
        <f>Q6/(1-Q7/C53)</f>
        <v>208678.54130859394</v>
      </c>
      <c r="I26" s="128" t="s">
        <v>283</v>
      </c>
      <c r="J26" s="96"/>
      <c r="K26" s="96"/>
      <c r="L26" s="96"/>
      <c r="M26" s="96"/>
      <c r="N26" s="96"/>
      <c r="O26" s="96"/>
      <c r="P26" s="96"/>
      <c r="Q26" s="96"/>
      <c r="R26" s="96"/>
      <c r="S26" s="96"/>
      <c r="T26" s="106"/>
    </row>
    <row r="27" spans="1:20" ht="15.95" customHeight="1" thickBot="1" x14ac:dyDescent="0.3">
      <c r="A27" s="109"/>
      <c r="B27" s="96"/>
      <c r="C27" s="96"/>
      <c r="D27" s="96"/>
      <c r="E27" s="96"/>
      <c r="F27" s="96"/>
      <c r="G27" s="96"/>
      <c r="H27" s="96"/>
      <c r="I27" s="96"/>
      <c r="J27" s="96"/>
      <c r="K27" s="96"/>
      <c r="L27" s="96"/>
      <c r="M27" s="96"/>
      <c r="N27" s="96"/>
      <c r="O27" s="96"/>
      <c r="P27" s="96"/>
      <c r="Q27" s="96"/>
      <c r="R27" s="96"/>
      <c r="S27" s="96"/>
      <c r="T27" s="106"/>
    </row>
    <row r="28" spans="1:20" ht="15.95" customHeight="1" thickBot="1" x14ac:dyDescent="0.3">
      <c r="A28" s="109"/>
      <c r="B28" s="96"/>
      <c r="C28" s="96"/>
      <c r="D28" s="105"/>
      <c r="E28" s="146"/>
      <c r="F28" s="146"/>
      <c r="G28" s="146"/>
      <c r="H28" s="146"/>
      <c r="I28" s="96"/>
      <c r="J28" s="96"/>
      <c r="K28" s="96"/>
      <c r="L28" s="96"/>
      <c r="M28" s="96"/>
      <c r="N28" s="364" t="s">
        <v>275</v>
      </c>
      <c r="O28" s="365"/>
      <c r="P28" s="239">
        <v>0.25</v>
      </c>
      <c r="Q28" s="239">
        <v>0.5</v>
      </c>
      <c r="R28" s="239">
        <v>0.75</v>
      </c>
      <c r="S28" s="240">
        <v>1</v>
      </c>
      <c r="T28" s="106"/>
    </row>
    <row r="29" spans="1:20" ht="15.95" customHeight="1" thickTop="1" thickBot="1" x14ac:dyDescent="0.3">
      <c r="A29" s="253" t="s">
        <v>168</v>
      </c>
      <c r="B29" s="227"/>
      <c r="C29" s="275">
        <v>200000</v>
      </c>
      <c r="D29" s="105"/>
      <c r="E29" s="105"/>
      <c r="F29" s="105"/>
      <c r="G29" s="105"/>
      <c r="H29" s="105"/>
      <c r="I29" s="96"/>
      <c r="J29" s="96"/>
      <c r="K29" s="96"/>
      <c r="L29" s="96"/>
      <c r="M29" s="96"/>
      <c r="N29" s="241" t="s">
        <v>276</v>
      </c>
      <c r="O29" s="242" t="s">
        <v>277</v>
      </c>
      <c r="P29" s="83">
        <v>1920</v>
      </c>
      <c r="Q29" s="83">
        <v>3840</v>
      </c>
      <c r="R29" s="83">
        <v>5760</v>
      </c>
      <c r="S29" s="84">
        <f>Eingabe!B31</f>
        <v>7680</v>
      </c>
      <c r="T29" s="106"/>
    </row>
    <row r="30" spans="1:20" ht="15.95" customHeight="1" thickTop="1" thickBot="1" x14ac:dyDescent="0.3">
      <c r="A30" s="253" t="s">
        <v>225</v>
      </c>
      <c r="B30" s="227"/>
      <c r="C30" s="275">
        <v>3</v>
      </c>
      <c r="D30" s="96"/>
      <c r="E30" s="96"/>
      <c r="F30" s="96"/>
      <c r="G30" s="96"/>
      <c r="H30" s="96"/>
      <c r="I30" s="96"/>
      <c r="J30" s="96"/>
      <c r="K30" s="96"/>
      <c r="L30" s="96"/>
      <c r="M30" s="96"/>
      <c r="N30" s="241" t="s">
        <v>103</v>
      </c>
      <c r="O30" s="242" t="s">
        <v>278</v>
      </c>
      <c r="P30" s="85">
        <f>$S30*P28</f>
        <v>476.19047619047615</v>
      </c>
      <c r="Q30" s="85">
        <f>$S30*Q28</f>
        <v>952.38095238095229</v>
      </c>
      <c r="R30" s="85">
        <f>$S30*R28</f>
        <v>1428.5714285714284</v>
      </c>
      <c r="S30" s="86">
        <f>C32</f>
        <v>1904.7619047619046</v>
      </c>
      <c r="T30" s="106"/>
    </row>
    <row r="31" spans="1:20" ht="15.95" customHeight="1" thickTop="1" x14ac:dyDescent="0.25">
      <c r="A31" s="253" t="s">
        <v>169</v>
      </c>
      <c r="B31" s="139"/>
      <c r="C31" s="222">
        <f>100/C30</f>
        <v>33.333333333333336</v>
      </c>
      <c r="D31" s="96"/>
      <c r="E31" s="96"/>
      <c r="F31" s="96"/>
      <c r="G31" s="96"/>
      <c r="H31" s="96"/>
      <c r="I31" s="96"/>
      <c r="J31" s="96"/>
      <c r="K31" s="96"/>
      <c r="L31" s="96"/>
      <c r="M31" s="96"/>
      <c r="N31" s="241" t="s">
        <v>279</v>
      </c>
      <c r="O31" s="242" t="s">
        <v>255</v>
      </c>
      <c r="P31" s="85">
        <f>S31*4</f>
        <v>171.06666666666666</v>
      </c>
      <c r="Q31" s="85">
        <f>S31*2</f>
        <v>85.533333333333331</v>
      </c>
      <c r="R31" s="85">
        <f>P31/3</f>
        <v>57.022222222222219</v>
      </c>
      <c r="S31" s="86">
        <f>D12</f>
        <v>42.766666666666666</v>
      </c>
      <c r="T31" s="106"/>
    </row>
    <row r="32" spans="1:20" ht="15.95" customHeight="1" thickBot="1" x14ac:dyDescent="0.3">
      <c r="A32" s="253" t="s">
        <v>170</v>
      </c>
      <c r="B32" s="139"/>
      <c r="C32" s="221">
        <f>SUM(Eingabe!B14:J14)/Eingabe!M7</f>
        <v>1904.7619047619046</v>
      </c>
      <c r="D32" s="96"/>
      <c r="E32" s="96"/>
      <c r="F32" s="96"/>
      <c r="G32" s="96"/>
      <c r="H32" s="96"/>
      <c r="I32" s="96"/>
      <c r="J32" s="96"/>
      <c r="K32" s="96"/>
      <c r="L32" s="96"/>
      <c r="M32" s="96"/>
      <c r="N32" s="241" t="s">
        <v>200</v>
      </c>
      <c r="O32" s="242" t="s">
        <v>255</v>
      </c>
      <c r="P32" s="86">
        <f>$S32</f>
        <v>121.83540608905311</v>
      </c>
      <c r="Q32" s="86">
        <f>$S32</f>
        <v>121.83540608905311</v>
      </c>
      <c r="R32" s="86">
        <f>$S32</f>
        <v>121.83540608905311</v>
      </c>
      <c r="S32" s="86">
        <f>$D22+C56</f>
        <v>121.83540608905311</v>
      </c>
      <c r="T32" s="106"/>
    </row>
    <row r="33" spans="1:20" ht="15.95" customHeight="1" thickTop="1" thickBot="1" x14ac:dyDescent="0.3">
      <c r="A33" s="253" t="s">
        <v>173</v>
      </c>
      <c r="B33" s="227"/>
      <c r="C33" s="275">
        <v>8</v>
      </c>
      <c r="D33" s="96"/>
      <c r="E33" s="96"/>
      <c r="F33" s="96"/>
      <c r="G33" s="96"/>
      <c r="H33" s="96"/>
      <c r="I33" s="96"/>
      <c r="J33" s="96"/>
      <c r="K33" s="96"/>
      <c r="L33" s="96"/>
      <c r="M33" s="96"/>
      <c r="N33" s="245" t="s">
        <v>280</v>
      </c>
      <c r="O33" s="246" t="s">
        <v>255</v>
      </c>
      <c r="P33" s="247">
        <f>SUM(P31:P32)</f>
        <v>292.90207275571976</v>
      </c>
      <c r="Q33" s="247">
        <f>SUM(Q31:Q32)</f>
        <v>207.36873942238645</v>
      </c>
      <c r="R33" s="247">
        <f>SUM(R31:R32)</f>
        <v>178.85762831127533</v>
      </c>
      <c r="S33" s="248">
        <f>SUM(S31:S32)</f>
        <v>164.60207275571977</v>
      </c>
      <c r="T33" s="106"/>
    </row>
    <row r="34" spans="1:20" ht="15.95" customHeight="1" thickTop="1" thickBot="1" x14ac:dyDescent="0.3">
      <c r="A34" s="253" t="s">
        <v>171</v>
      </c>
      <c r="B34" s="139"/>
      <c r="C34" s="223">
        <f>Eingabe!M5*Eingabe!N5*2</f>
        <v>133.34</v>
      </c>
      <c r="D34" s="96"/>
      <c r="E34" s="96"/>
      <c r="F34" s="96"/>
      <c r="G34" s="96"/>
      <c r="H34" s="96"/>
      <c r="I34" s="96"/>
      <c r="J34" s="96"/>
      <c r="K34" s="96"/>
      <c r="L34" s="96"/>
      <c r="M34" s="96"/>
      <c r="N34" s="243" t="s">
        <v>280</v>
      </c>
      <c r="O34" s="244" t="s">
        <v>281</v>
      </c>
      <c r="P34" s="87">
        <f t="shared" ref="P34:R34" si="3">P33*P30/P29</f>
        <v>72.644363282668579</v>
      </c>
      <c r="Q34" s="87">
        <f t="shared" si="3"/>
        <v>51.430738944044258</v>
      </c>
      <c r="R34" s="87">
        <f t="shared" si="3"/>
        <v>44.359530831169472</v>
      </c>
      <c r="S34" s="88">
        <f>S33*S30/S29</f>
        <v>40.82392677473208</v>
      </c>
      <c r="T34" s="106"/>
    </row>
    <row r="35" spans="1:20" ht="15.95" customHeight="1" thickTop="1" thickBot="1" x14ac:dyDescent="0.3">
      <c r="A35" s="253" t="s">
        <v>172</v>
      </c>
      <c r="B35" s="227"/>
      <c r="C35" s="275">
        <v>0</v>
      </c>
      <c r="D35" s="96"/>
      <c r="E35" s="96"/>
      <c r="F35" s="96"/>
      <c r="G35" s="96"/>
      <c r="H35" s="96"/>
      <c r="I35" s="96"/>
      <c r="J35" s="96"/>
      <c r="K35" s="96"/>
      <c r="L35" s="96"/>
      <c r="M35" s="96"/>
      <c r="N35" s="96"/>
      <c r="O35" s="96"/>
      <c r="P35" s="96"/>
      <c r="Q35" s="96"/>
      <c r="R35" s="96"/>
      <c r="S35" s="96"/>
      <c r="T35" s="106"/>
    </row>
    <row r="36" spans="1:20" ht="15.95" customHeight="1" thickTop="1" thickBot="1" x14ac:dyDescent="0.3">
      <c r="A36" s="253" t="s">
        <v>262</v>
      </c>
      <c r="B36" s="227"/>
      <c r="C36" s="275">
        <v>0</v>
      </c>
      <c r="D36" s="96"/>
      <c r="E36" s="96"/>
      <c r="F36" s="96"/>
      <c r="G36" s="96"/>
      <c r="H36" s="96"/>
      <c r="I36" s="96"/>
      <c r="J36" s="96"/>
      <c r="K36" s="96"/>
      <c r="L36" s="96"/>
      <c r="M36" s="96"/>
      <c r="N36" s="96"/>
      <c r="O36" s="96"/>
      <c r="P36" s="96"/>
      <c r="Q36" s="96"/>
      <c r="R36" s="96"/>
      <c r="S36" s="96"/>
      <c r="T36" s="106"/>
    </row>
    <row r="37" spans="1:20" ht="15.95" customHeight="1" thickTop="1" thickBot="1" x14ac:dyDescent="0.3">
      <c r="A37" s="253" t="s">
        <v>263</v>
      </c>
      <c r="B37" s="96"/>
      <c r="C37" s="275">
        <v>0</v>
      </c>
      <c r="D37" s="96"/>
      <c r="E37" s="96"/>
      <c r="F37" s="96"/>
      <c r="G37" s="96"/>
      <c r="H37" s="96"/>
      <c r="I37" s="96"/>
      <c r="J37" s="96"/>
      <c r="K37" s="96"/>
      <c r="L37" s="96"/>
      <c r="M37" s="96"/>
      <c r="N37" s="96"/>
      <c r="O37" s="96"/>
      <c r="P37" s="96"/>
      <c r="Q37" s="96"/>
      <c r="R37" s="96"/>
      <c r="S37" s="96"/>
      <c r="T37" s="106"/>
    </row>
    <row r="38" spans="1:20" ht="15.95" customHeight="1" thickTop="1" thickBot="1" x14ac:dyDescent="0.3">
      <c r="A38" s="253" t="s">
        <v>194</v>
      </c>
      <c r="B38" s="227"/>
      <c r="C38" s="275">
        <v>3</v>
      </c>
      <c r="D38" s="96"/>
      <c r="E38" s="96"/>
      <c r="F38" s="96"/>
      <c r="G38" s="96"/>
      <c r="H38" s="96"/>
      <c r="I38" s="96"/>
      <c r="J38" s="96"/>
      <c r="K38" s="96"/>
      <c r="L38" s="96"/>
      <c r="M38" s="96"/>
      <c r="N38" s="96"/>
      <c r="O38" s="96"/>
      <c r="P38" s="96"/>
      <c r="Q38" s="96"/>
      <c r="R38" s="96"/>
      <c r="S38" s="96"/>
      <c r="T38" s="106"/>
    </row>
    <row r="39" spans="1:20" ht="15.95" customHeight="1" thickTop="1" thickBot="1" x14ac:dyDescent="0.3">
      <c r="A39" s="253" t="s">
        <v>174</v>
      </c>
      <c r="B39" s="139"/>
      <c r="C39" s="224">
        <f>C32/C40</f>
        <v>158.73015873015871</v>
      </c>
      <c r="D39" s="96"/>
      <c r="E39" s="96"/>
      <c r="F39" s="96"/>
      <c r="G39" s="96"/>
      <c r="H39" s="96"/>
      <c r="I39" s="96"/>
      <c r="J39" s="96"/>
      <c r="K39" s="96"/>
      <c r="L39" s="96"/>
      <c r="M39" s="96"/>
      <c r="N39" s="96"/>
      <c r="O39" s="96"/>
      <c r="P39" s="96"/>
      <c r="Q39" s="96"/>
      <c r="R39" s="96"/>
      <c r="S39" s="96"/>
      <c r="T39" s="106"/>
    </row>
    <row r="40" spans="1:20" ht="15.95" customHeight="1" thickTop="1" thickBot="1" x14ac:dyDescent="0.3">
      <c r="A40" s="253" t="s">
        <v>176</v>
      </c>
      <c r="B40" s="118"/>
      <c r="C40" s="275">
        <v>12</v>
      </c>
      <c r="D40" s="96"/>
      <c r="E40" s="96"/>
      <c r="F40" s="96"/>
      <c r="G40" s="96"/>
      <c r="H40" s="96"/>
      <c r="I40" s="96"/>
      <c r="J40" s="96"/>
      <c r="K40" s="96"/>
      <c r="L40" s="96"/>
      <c r="M40" s="96"/>
      <c r="N40" s="96"/>
      <c r="O40" s="96"/>
      <c r="P40" s="96"/>
      <c r="Q40" s="96"/>
      <c r="R40" s="96"/>
      <c r="S40" s="96"/>
      <c r="T40" s="106"/>
    </row>
    <row r="41" spans="1:20" ht="15.95" customHeight="1" thickTop="1" thickBot="1" x14ac:dyDescent="0.3">
      <c r="A41" s="253" t="s">
        <v>175</v>
      </c>
      <c r="B41" s="118"/>
      <c r="C41" s="275">
        <v>10</v>
      </c>
      <c r="D41" s="96"/>
      <c r="E41" s="96"/>
      <c r="F41" s="96"/>
      <c r="G41" s="96"/>
      <c r="H41" s="96"/>
      <c r="I41" s="96"/>
      <c r="J41" s="96"/>
      <c r="K41" s="96"/>
      <c r="L41" s="96"/>
      <c r="M41" s="96"/>
      <c r="N41" s="96"/>
      <c r="O41" s="96"/>
      <c r="P41" s="96"/>
      <c r="Q41" s="96"/>
      <c r="R41" s="96"/>
      <c r="S41" s="96"/>
      <c r="T41" s="106"/>
    </row>
    <row r="42" spans="1:20" ht="15.95" customHeight="1" thickTop="1" thickBot="1" x14ac:dyDescent="0.3">
      <c r="A42" s="253" t="s">
        <v>198</v>
      </c>
      <c r="B42" s="227"/>
      <c r="C42" s="275">
        <v>50</v>
      </c>
      <c r="D42" s="96"/>
      <c r="E42" s="96"/>
      <c r="F42" s="96"/>
      <c r="G42" s="96"/>
      <c r="H42" s="96"/>
      <c r="I42" s="96"/>
      <c r="J42" s="96"/>
      <c r="K42" s="96"/>
      <c r="L42" s="96"/>
      <c r="M42" s="96"/>
      <c r="N42" s="96"/>
      <c r="O42" s="96"/>
      <c r="P42" s="96"/>
      <c r="Q42" s="96"/>
      <c r="R42" s="96"/>
      <c r="S42" s="96"/>
      <c r="T42" s="106"/>
    </row>
    <row r="43" spans="1:20" ht="15.95" customHeight="1" thickTop="1" thickBot="1" x14ac:dyDescent="0.3">
      <c r="A43" s="253" t="s">
        <v>177</v>
      </c>
      <c r="B43" s="227"/>
      <c r="C43" s="275">
        <v>0.1</v>
      </c>
      <c r="D43" s="96"/>
      <c r="E43" s="96"/>
      <c r="F43" s="96"/>
      <c r="G43" s="96"/>
      <c r="H43" s="96"/>
      <c r="I43" s="96"/>
      <c r="J43" s="96"/>
      <c r="K43" s="96"/>
      <c r="L43" s="96"/>
      <c r="M43" s="96"/>
      <c r="N43" s="96"/>
      <c r="O43" s="96"/>
      <c r="P43" s="96"/>
      <c r="Q43" s="96"/>
      <c r="R43" s="96"/>
      <c r="S43" s="96"/>
      <c r="T43" s="106"/>
    </row>
    <row r="44" spans="1:20" ht="15.95" customHeight="1" thickTop="1" thickBot="1" x14ac:dyDescent="0.3">
      <c r="A44" s="253" t="s">
        <v>178</v>
      </c>
      <c r="B44" s="227"/>
      <c r="C44" s="275">
        <v>20</v>
      </c>
      <c r="D44" s="96"/>
      <c r="E44" s="96"/>
      <c r="F44" s="96"/>
      <c r="G44" s="96"/>
      <c r="H44" s="96"/>
      <c r="I44" s="96"/>
      <c r="J44" s="96"/>
      <c r="K44" s="96"/>
      <c r="L44" s="96"/>
      <c r="M44" s="96"/>
      <c r="N44" s="96"/>
      <c r="O44" s="96"/>
      <c r="P44" s="96"/>
      <c r="Q44" s="96"/>
      <c r="R44" s="96"/>
      <c r="S44" s="96"/>
      <c r="T44" s="106"/>
    </row>
    <row r="45" spans="1:20" ht="15.95" customHeight="1" thickTop="1" thickBot="1" x14ac:dyDescent="0.3">
      <c r="A45" s="253" t="s">
        <v>179</v>
      </c>
      <c r="B45" s="118"/>
      <c r="C45" s="275">
        <v>0.03</v>
      </c>
      <c r="D45" s="96"/>
      <c r="E45" s="96"/>
      <c r="F45" s="96"/>
      <c r="G45" s="96"/>
      <c r="H45" s="96"/>
      <c r="I45" s="96"/>
      <c r="J45" s="96"/>
      <c r="K45" s="96"/>
      <c r="L45" s="96"/>
      <c r="M45" s="96"/>
      <c r="N45" s="96"/>
      <c r="O45" s="96"/>
      <c r="P45" s="96"/>
      <c r="Q45" s="96"/>
      <c r="R45" s="96"/>
      <c r="S45" s="96"/>
      <c r="T45" s="106"/>
    </row>
    <row r="46" spans="1:20" ht="15.95" customHeight="1" thickTop="1" thickBot="1" x14ac:dyDescent="0.3">
      <c r="A46" s="253" t="s">
        <v>180</v>
      </c>
      <c r="B46" s="118"/>
      <c r="C46" s="275">
        <v>60</v>
      </c>
      <c r="D46" s="96"/>
      <c r="E46" s="96"/>
      <c r="F46" s="96"/>
      <c r="G46" s="96"/>
      <c r="H46" s="96"/>
      <c r="I46" s="96"/>
      <c r="J46" s="96"/>
      <c r="K46" s="96"/>
      <c r="L46" s="96"/>
      <c r="M46" s="96"/>
      <c r="N46" s="96"/>
      <c r="O46" s="96"/>
      <c r="P46" s="96"/>
      <c r="Q46" s="96"/>
      <c r="R46" s="96"/>
      <c r="S46" s="96"/>
      <c r="T46" s="106"/>
    </row>
    <row r="47" spans="1:20" ht="15.95" customHeight="1" thickTop="1" thickBot="1" x14ac:dyDescent="0.3">
      <c r="A47" s="253" t="s">
        <v>181</v>
      </c>
      <c r="B47" s="227"/>
      <c r="C47" s="275">
        <v>0.9</v>
      </c>
      <c r="D47" s="96"/>
      <c r="E47" s="96"/>
      <c r="F47" s="96"/>
      <c r="G47" s="96"/>
      <c r="H47" s="96"/>
      <c r="I47" s="96"/>
      <c r="J47" s="96"/>
      <c r="K47" s="96"/>
      <c r="L47" s="96"/>
      <c r="M47" s="96"/>
      <c r="N47" s="96"/>
      <c r="O47" s="96"/>
      <c r="P47" s="96"/>
      <c r="Q47" s="96"/>
      <c r="R47" s="96"/>
      <c r="S47" s="96"/>
      <c r="T47" s="106"/>
    </row>
    <row r="48" spans="1:20" ht="15.95" customHeight="1" thickTop="1" thickBot="1" x14ac:dyDescent="0.3">
      <c r="A48" s="253" t="s">
        <v>182</v>
      </c>
      <c r="B48" s="139"/>
      <c r="C48" s="223">
        <f>Eingabe!B29</f>
        <v>320</v>
      </c>
      <c r="D48" s="96"/>
      <c r="E48" s="96"/>
      <c r="F48" s="96"/>
      <c r="G48" s="96"/>
      <c r="H48" s="96"/>
      <c r="I48" s="96"/>
      <c r="J48" s="96"/>
      <c r="K48" s="96"/>
      <c r="L48" s="96"/>
      <c r="M48" s="96"/>
      <c r="N48" s="96"/>
      <c r="O48" s="96"/>
      <c r="P48" s="96"/>
      <c r="Q48" s="96"/>
      <c r="R48" s="96"/>
      <c r="S48" s="96"/>
      <c r="T48" s="106"/>
    </row>
    <row r="49" spans="1:20" ht="15.95" customHeight="1" thickTop="1" thickBot="1" x14ac:dyDescent="0.3">
      <c r="A49" s="253" t="s">
        <v>183</v>
      </c>
      <c r="B49" s="118"/>
      <c r="C49" s="275">
        <v>20</v>
      </c>
      <c r="D49" s="96"/>
      <c r="E49" s="96"/>
      <c r="F49" s="96"/>
      <c r="G49" s="96"/>
      <c r="H49" s="96"/>
      <c r="I49" s="96"/>
      <c r="J49" s="96"/>
      <c r="K49" s="96"/>
      <c r="L49" s="96"/>
      <c r="M49" s="96"/>
      <c r="N49" s="96"/>
      <c r="O49" s="96"/>
      <c r="P49" s="96"/>
      <c r="Q49" s="96"/>
      <c r="R49" s="96"/>
      <c r="S49" s="96"/>
      <c r="T49" s="106"/>
    </row>
    <row r="50" spans="1:20" ht="15.95" customHeight="1" thickTop="1" thickBot="1" x14ac:dyDescent="0.3">
      <c r="A50" s="253" t="s">
        <v>184</v>
      </c>
      <c r="B50" s="227"/>
      <c r="C50" s="275">
        <v>2</v>
      </c>
      <c r="D50" s="96"/>
      <c r="E50" s="96"/>
      <c r="F50" s="96"/>
      <c r="G50" s="96"/>
      <c r="H50" s="96"/>
      <c r="I50" s="96"/>
      <c r="J50" s="96"/>
      <c r="K50" s="96"/>
      <c r="L50" s="96"/>
      <c r="M50" s="96"/>
      <c r="N50" s="96"/>
      <c r="O50" s="96"/>
      <c r="P50" s="96"/>
      <c r="Q50" s="96"/>
      <c r="R50" s="96"/>
      <c r="S50" s="96"/>
      <c r="T50" s="106"/>
    </row>
    <row r="51" spans="1:20" ht="15.95" customHeight="1" thickTop="1" x14ac:dyDescent="0.25">
      <c r="A51" s="253" t="s">
        <v>207</v>
      </c>
      <c r="B51" s="139"/>
      <c r="C51" s="222">
        <f>Energiebedarf!J18</f>
        <v>21.847119976013449</v>
      </c>
      <c r="D51" s="96"/>
      <c r="E51" s="96"/>
      <c r="F51" s="96"/>
      <c r="G51" s="96"/>
      <c r="H51" s="96"/>
      <c r="I51" s="96"/>
      <c r="J51" s="96"/>
      <c r="K51" s="96"/>
      <c r="L51" s="96"/>
      <c r="M51" s="96"/>
      <c r="N51" s="96"/>
      <c r="O51" s="96"/>
      <c r="P51" s="96"/>
      <c r="Q51" s="96"/>
      <c r="R51" s="96"/>
      <c r="S51" s="96"/>
      <c r="T51" s="106"/>
    </row>
    <row r="52" spans="1:20" ht="15.95" customHeight="1" thickBot="1" x14ac:dyDescent="0.3">
      <c r="A52" s="253" t="s">
        <v>211</v>
      </c>
      <c r="B52" s="139"/>
      <c r="C52" s="221">
        <f>Volumen!P20*Volumen!M11</f>
        <v>92.664000000000044</v>
      </c>
      <c r="D52" s="96"/>
      <c r="E52" s="96"/>
      <c r="F52" s="96"/>
      <c r="G52" s="96"/>
      <c r="H52" s="96"/>
      <c r="I52" s="96"/>
      <c r="J52" s="96"/>
      <c r="K52" s="96"/>
      <c r="L52" s="96"/>
      <c r="M52" s="96"/>
      <c r="N52" s="96"/>
      <c r="O52" s="96"/>
      <c r="P52" s="96"/>
      <c r="Q52" s="96"/>
      <c r="R52" s="96"/>
      <c r="S52" s="96"/>
      <c r="T52" s="106"/>
    </row>
    <row r="53" spans="1:20" ht="15.95" customHeight="1" thickTop="1" thickBot="1" x14ac:dyDescent="0.3">
      <c r="A53" s="253" t="s">
        <v>222</v>
      </c>
      <c r="B53" s="227"/>
      <c r="C53" s="275">
        <v>270</v>
      </c>
      <c r="D53" s="96"/>
      <c r="E53" s="96"/>
      <c r="F53" s="96"/>
      <c r="G53" s="96"/>
      <c r="H53" s="96"/>
      <c r="I53" s="96"/>
      <c r="J53" s="96"/>
      <c r="K53" s="96"/>
      <c r="L53" s="96"/>
      <c r="M53" s="96"/>
      <c r="N53" s="96"/>
      <c r="O53" s="96"/>
      <c r="P53" s="96"/>
      <c r="Q53" s="96"/>
      <c r="R53" s="96"/>
      <c r="S53" s="96"/>
      <c r="T53" s="106"/>
    </row>
    <row r="54" spans="1:20" ht="15.95" customHeight="1" thickTop="1" thickBot="1" x14ac:dyDescent="0.3">
      <c r="A54" s="253" t="s">
        <v>215</v>
      </c>
      <c r="B54" s="227"/>
      <c r="C54" s="275">
        <v>0.5</v>
      </c>
      <c r="D54" s="96"/>
      <c r="E54" s="96"/>
      <c r="F54" s="96"/>
      <c r="G54" s="96"/>
      <c r="H54" s="96"/>
      <c r="I54" s="96"/>
      <c r="J54" s="96"/>
      <c r="K54" s="96"/>
      <c r="L54" s="96"/>
      <c r="M54" s="96"/>
      <c r="N54" s="96"/>
      <c r="O54" s="96"/>
      <c r="P54" s="96"/>
      <c r="Q54" s="96"/>
      <c r="R54" s="96"/>
      <c r="S54" s="96"/>
      <c r="T54" s="106"/>
    </row>
    <row r="55" spans="1:20" ht="15.95" customHeight="1" thickTop="1" thickBot="1" x14ac:dyDescent="0.3">
      <c r="A55" s="253" t="s">
        <v>218</v>
      </c>
      <c r="B55" s="227"/>
      <c r="C55" s="275">
        <v>3</v>
      </c>
      <c r="D55" s="96"/>
      <c r="E55" s="96"/>
      <c r="F55" s="96"/>
      <c r="G55" s="96"/>
      <c r="H55" s="96"/>
      <c r="I55" s="96"/>
      <c r="J55" s="96"/>
      <c r="K55" s="96"/>
      <c r="L55" s="96"/>
      <c r="M55" s="96"/>
      <c r="N55" s="96"/>
      <c r="O55" s="96"/>
      <c r="P55" s="96"/>
      <c r="Q55" s="96"/>
      <c r="R55" s="96"/>
      <c r="S55" s="96"/>
      <c r="T55" s="106"/>
    </row>
    <row r="56" spans="1:20" ht="15.95" customHeight="1" thickTop="1" thickBot="1" x14ac:dyDescent="0.3">
      <c r="A56" s="253" t="s">
        <v>272</v>
      </c>
      <c r="B56" s="227"/>
      <c r="C56" s="275">
        <v>80</v>
      </c>
      <c r="D56" s="96"/>
      <c r="E56" s="96"/>
      <c r="F56" s="96"/>
      <c r="G56" s="96"/>
      <c r="H56" s="96"/>
      <c r="I56" s="96"/>
      <c r="J56" s="96"/>
      <c r="K56" s="96"/>
      <c r="L56" s="96"/>
      <c r="M56" s="96"/>
      <c r="N56" s="96"/>
      <c r="O56" s="96"/>
      <c r="P56" s="96"/>
      <c r="Q56" s="96"/>
      <c r="R56" s="96"/>
      <c r="S56" s="96"/>
      <c r="T56" s="106"/>
    </row>
    <row r="57" spans="1:20" ht="15.95" customHeight="1" thickTop="1" thickBot="1" x14ac:dyDescent="0.3">
      <c r="A57" s="111"/>
      <c r="B57" s="112"/>
      <c r="C57" s="112"/>
      <c r="D57" s="112"/>
      <c r="E57" s="112"/>
      <c r="F57" s="112"/>
      <c r="G57" s="112"/>
      <c r="H57" s="112"/>
      <c r="I57" s="112"/>
      <c r="J57" s="112"/>
      <c r="K57" s="112"/>
      <c r="L57" s="112"/>
      <c r="M57" s="112"/>
      <c r="N57" s="112"/>
      <c r="O57" s="112"/>
      <c r="P57" s="112"/>
      <c r="Q57" s="112"/>
      <c r="R57" s="112"/>
      <c r="S57" s="112"/>
      <c r="T57" s="113"/>
    </row>
    <row r="58" spans="1:20" ht="15.75" thickTop="1" x14ac:dyDescent="0.25"/>
  </sheetData>
  <sheetProtection password="CB3B" sheet="1" objects="1" scenarios="1"/>
  <mergeCells count="6">
    <mergeCell ref="A1:A2"/>
    <mergeCell ref="N28:O28"/>
    <mergeCell ref="A3:D3"/>
    <mergeCell ref="A13:D13"/>
    <mergeCell ref="A5:D5"/>
    <mergeCell ref="A14:D14"/>
  </mergeCell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workbookViewId="0">
      <selection activeCell="B57" sqref="B57"/>
    </sheetView>
  </sheetViews>
  <sheetFormatPr baseColWidth="10" defaultRowHeight="15" x14ac:dyDescent="0.25"/>
  <cols>
    <col min="2" max="2" width="25.7109375" bestFit="1" customWidth="1"/>
    <col min="3" max="3" width="16.7109375" customWidth="1"/>
    <col min="10" max="10" width="2.7109375" customWidth="1"/>
    <col min="11" max="11" width="12.85546875" bestFit="1" customWidth="1"/>
  </cols>
  <sheetData>
    <row r="1" spans="1:17" s="76" customFormat="1" ht="15.75" thickTop="1" x14ac:dyDescent="0.25">
      <c r="A1" s="394" t="s">
        <v>248</v>
      </c>
      <c r="B1" s="395"/>
      <c r="C1" s="395"/>
      <c r="D1" s="395"/>
      <c r="E1" s="395"/>
      <c r="F1" s="395"/>
      <c r="G1" s="395"/>
      <c r="H1" s="395"/>
      <c r="I1" s="395"/>
      <c r="J1" s="395"/>
      <c r="K1" s="396"/>
      <c r="L1" s="160"/>
    </row>
    <row r="2" spans="1:17" s="45" customFormat="1" ht="15.95" customHeight="1" x14ac:dyDescent="0.25">
      <c r="A2" s="397"/>
      <c r="B2" s="311"/>
      <c r="C2" s="311"/>
      <c r="D2" s="311"/>
      <c r="E2" s="311"/>
      <c r="F2" s="311"/>
      <c r="G2" s="311"/>
      <c r="H2" s="311"/>
      <c r="I2" s="311"/>
      <c r="J2" s="311"/>
      <c r="K2" s="321"/>
      <c r="L2" s="106"/>
    </row>
    <row r="3" spans="1:17" ht="15.95" customHeight="1" x14ac:dyDescent="0.25">
      <c r="A3" s="383" t="s">
        <v>0</v>
      </c>
      <c r="B3" s="384"/>
      <c r="C3" s="387" t="s">
        <v>32</v>
      </c>
      <c r="D3" s="81" t="s">
        <v>48</v>
      </c>
      <c r="E3" s="81" t="s">
        <v>49</v>
      </c>
      <c r="F3" s="379" t="s">
        <v>87</v>
      </c>
      <c r="G3" s="70" t="s">
        <v>50</v>
      </c>
      <c r="H3" s="81" t="s">
        <v>33</v>
      </c>
      <c r="I3" s="387" t="s">
        <v>53</v>
      </c>
      <c r="J3" s="71"/>
      <c r="K3" s="389" t="s">
        <v>249</v>
      </c>
      <c r="L3" s="255"/>
      <c r="M3" s="32"/>
      <c r="N3" s="32"/>
      <c r="O3" s="32"/>
      <c r="P3" s="32"/>
      <c r="Q3" s="32"/>
    </row>
    <row r="4" spans="1:17" ht="15.95" customHeight="1" x14ac:dyDescent="0.25">
      <c r="A4" s="385"/>
      <c r="B4" s="386"/>
      <c r="C4" s="388"/>
      <c r="D4" s="380" t="s">
        <v>51</v>
      </c>
      <c r="E4" s="380"/>
      <c r="F4" s="379"/>
      <c r="G4" s="381" t="s">
        <v>52</v>
      </c>
      <c r="H4" s="382"/>
      <c r="I4" s="388"/>
      <c r="J4" s="72"/>
      <c r="K4" s="390"/>
      <c r="L4" s="256"/>
      <c r="M4" s="33"/>
      <c r="N4" s="34"/>
      <c r="O4" s="33"/>
      <c r="P4" s="33"/>
      <c r="Q4" s="33"/>
    </row>
    <row r="5" spans="1:17" ht="15.95" customHeight="1" x14ac:dyDescent="0.25">
      <c r="A5" s="391" t="s">
        <v>34</v>
      </c>
      <c r="B5" s="69" t="s">
        <v>55</v>
      </c>
      <c r="C5" s="8">
        <v>350</v>
      </c>
      <c r="D5" s="7">
        <v>50</v>
      </c>
      <c r="E5" s="7">
        <v>13</v>
      </c>
      <c r="F5" s="7">
        <v>45</v>
      </c>
      <c r="G5" s="7">
        <v>80</v>
      </c>
      <c r="H5" s="9">
        <v>3.5</v>
      </c>
      <c r="I5" s="7">
        <v>2</v>
      </c>
      <c r="J5" s="72"/>
      <c r="K5" s="67">
        <v>9.1</v>
      </c>
      <c r="L5" s="257"/>
      <c r="M5" s="35"/>
      <c r="N5" s="35"/>
      <c r="O5" s="35"/>
      <c r="P5" s="35"/>
      <c r="Q5" s="35"/>
    </row>
    <row r="6" spans="1:17" ht="15.95" customHeight="1" x14ac:dyDescent="0.25">
      <c r="A6" s="392"/>
      <c r="B6" s="69" t="s">
        <v>54</v>
      </c>
      <c r="C6" s="8">
        <v>350</v>
      </c>
      <c r="D6" s="7">
        <v>60</v>
      </c>
      <c r="E6" s="7">
        <v>12</v>
      </c>
      <c r="F6" s="7">
        <v>48</v>
      </c>
      <c r="G6" s="7">
        <v>90</v>
      </c>
      <c r="H6" s="9">
        <v>4</v>
      </c>
      <c r="I6" s="7">
        <v>1</v>
      </c>
      <c r="J6" s="72"/>
      <c r="K6" s="67">
        <v>9.1</v>
      </c>
      <c r="L6" s="257"/>
      <c r="M6" s="35"/>
      <c r="N6" s="35"/>
      <c r="O6" s="35"/>
      <c r="P6" s="35"/>
      <c r="Q6" s="35"/>
    </row>
    <row r="7" spans="1:17" ht="15.95" customHeight="1" x14ac:dyDescent="0.25">
      <c r="A7" s="392"/>
      <c r="B7" s="69" t="s">
        <v>61</v>
      </c>
      <c r="C7" s="8">
        <v>530</v>
      </c>
      <c r="D7" s="7">
        <v>45</v>
      </c>
      <c r="E7" s="7">
        <v>15</v>
      </c>
      <c r="F7" s="7">
        <v>37</v>
      </c>
      <c r="G7" s="7">
        <v>80</v>
      </c>
      <c r="H7" s="9">
        <v>2.5</v>
      </c>
      <c r="I7" s="7">
        <v>4</v>
      </c>
      <c r="J7" s="72"/>
      <c r="K7" s="67">
        <v>14.8</v>
      </c>
      <c r="L7" s="257"/>
      <c r="M7" s="35"/>
      <c r="N7" s="35"/>
      <c r="O7" s="35"/>
      <c r="P7" s="35"/>
      <c r="Q7" s="35"/>
    </row>
    <row r="8" spans="1:17" ht="15.95" customHeight="1" x14ac:dyDescent="0.25">
      <c r="A8" s="392"/>
      <c r="B8" s="69" t="s">
        <v>77</v>
      </c>
      <c r="C8" s="8">
        <v>700</v>
      </c>
      <c r="D8" s="7">
        <v>30</v>
      </c>
      <c r="E8" s="7">
        <v>18</v>
      </c>
      <c r="F8" s="7">
        <v>27</v>
      </c>
      <c r="G8" s="7">
        <v>70</v>
      </c>
      <c r="H8" s="9">
        <v>1.5</v>
      </c>
      <c r="I8" s="7">
        <v>9</v>
      </c>
      <c r="J8" s="72"/>
      <c r="K8" s="67">
        <v>7.05</v>
      </c>
      <c r="L8" s="257"/>
      <c r="M8" s="35"/>
      <c r="N8" s="35"/>
      <c r="O8" s="35"/>
      <c r="P8" s="35"/>
      <c r="Q8" s="35"/>
    </row>
    <row r="9" spans="1:17" ht="15.95" customHeight="1" x14ac:dyDescent="0.25">
      <c r="A9" s="392"/>
      <c r="B9" s="69" t="s">
        <v>36</v>
      </c>
      <c r="C9" s="8">
        <v>590</v>
      </c>
      <c r="D9" s="7">
        <v>45</v>
      </c>
      <c r="E9" s="7">
        <v>13</v>
      </c>
      <c r="F9" s="7">
        <v>32</v>
      </c>
      <c r="G9" s="7">
        <v>65</v>
      </c>
      <c r="H9" s="9">
        <v>2.5</v>
      </c>
      <c r="I9" s="7">
        <v>10</v>
      </c>
      <c r="J9" s="72"/>
      <c r="K9" s="67">
        <v>11.5</v>
      </c>
      <c r="L9" s="257"/>
      <c r="M9" s="35"/>
      <c r="N9" s="35"/>
      <c r="O9" s="35"/>
      <c r="P9" s="35"/>
      <c r="Q9" s="35"/>
    </row>
    <row r="10" spans="1:17" ht="15.95" customHeight="1" x14ac:dyDescent="0.25">
      <c r="A10" s="392"/>
      <c r="B10" s="69" t="s">
        <v>88</v>
      </c>
      <c r="C10" s="8">
        <v>104</v>
      </c>
      <c r="D10" s="7">
        <v>30</v>
      </c>
      <c r="E10" s="7">
        <v>18</v>
      </c>
      <c r="F10" s="7">
        <v>27</v>
      </c>
      <c r="G10" s="7">
        <v>70</v>
      </c>
      <c r="H10" s="9">
        <v>1.5</v>
      </c>
      <c r="I10" s="7">
        <v>9</v>
      </c>
      <c r="J10" s="72"/>
      <c r="K10" s="67">
        <v>16.399999999999999</v>
      </c>
      <c r="L10" s="257"/>
      <c r="M10" s="35"/>
      <c r="N10" s="35"/>
      <c r="O10" s="35"/>
      <c r="P10" s="35"/>
      <c r="Q10" s="35"/>
    </row>
    <row r="11" spans="1:17" ht="15.95" customHeight="1" x14ac:dyDescent="0.25">
      <c r="A11" s="392"/>
      <c r="B11" s="69" t="s">
        <v>56</v>
      </c>
      <c r="C11" s="8">
        <v>90</v>
      </c>
      <c r="D11" s="7">
        <v>50</v>
      </c>
      <c r="E11" s="7">
        <v>13</v>
      </c>
      <c r="F11" s="7">
        <v>45</v>
      </c>
      <c r="G11" s="7">
        <v>80</v>
      </c>
      <c r="H11" s="9">
        <v>3.5</v>
      </c>
      <c r="I11" s="7">
        <v>2</v>
      </c>
      <c r="J11" s="72"/>
      <c r="K11" s="67">
        <v>8</v>
      </c>
      <c r="L11" s="257"/>
      <c r="M11" s="35"/>
      <c r="N11" s="35"/>
      <c r="O11" s="35"/>
      <c r="P11" s="35"/>
      <c r="Q11" s="35"/>
    </row>
    <row r="12" spans="1:17" ht="15.95" customHeight="1" x14ac:dyDescent="0.25">
      <c r="A12" s="392"/>
      <c r="B12" s="69" t="s">
        <v>37</v>
      </c>
      <c r="C12" s="8">
        <v>610</v>
      </c>
      <c r="D12" s="7">
        <v>45</v>
      </c>
      <c r="E12" s="7">
        <v>16</v>
      </c>
      <c r="F12" s="7">
        <v>35</v>
      </c>
      <c r="G12" s="7">
        <v>75</v>
      </c>
      <c r="H12" s="9">
        <v>2.2000000000000002</v>
      </c>
      <c r="I12" s="7">
        <v>5</v>
      </c>
      <c r="J12" s="72"/>
      <c r="K12" s="67">
        <v>13.7</v>
      </c>
      <c r="L12" s="257"/>
      <c r="M12" s="35"/>
      <c r="N12" s="35"/>
      <c r="O12" s="35"/>
      <c r="P12" s="35"/>
      <c r="Q12" s="35"/>
    </row>
    <row r="13" spans="1:17" ht="15.95" customHeight="1" x14ac:dyDescent="0.25">
      <c r="A13" s="392"/>
      <c r="B13" s="69" t="s">
        <v>38</v>
      </c>
      <c r="C13" s="8">
        <v>700</v>
      </c>
      <c r="D13" s="7">
        <v>45</v>
      </c>
      <c r="E13" s="7">
        <v>16</v>
      </c>
      <c r="F13" s="7">
        <v>35</v>
      </c>
      <c r="G13" s="7">
        <v>75</v>
      </c>
      <c r="H13" s="9">
        <v>2.2000000000000002</v>
      </c>
      <c r="I13" s="7">
        <v>5</v>
      </c>
      <c r="J13" s="72"/>
      <c r="K13" s="67">
        <v>14.15</v>
      </c>
      <c r="L13" s="257"/>
      <c r="M13" s="35"/>
      <c r="N13" s="35"/>
      <c r="O13" s="35"/>
      <c r="P13" s="35"/>
      <c r="Q13" s="35"/>
    </row>
    <row r="14" spans="1:17" ht="15.95" customHeight="1" x14ac:dyDescent="0.25">
      <c r="A14" s="392"/>
      <c r="B14" s="69" t="s">
        <v>1</v>
      </c>
      <c r="C14" s="8">
        <v>680</v>
      </c>
      <c r="D14" s="7">
        <v>45</v>
      </c>
      <c r="E14" s="7">
        <v>16</v>
      </c>
      <c r="F14" s="7">
        <v>34</v>
      </c>
      <c r="G14" s="7">
        <v>75</v>
      </c>
      <c r="H14" s="9">
        <v>2</v>
      </c>
      <c r="I14" s="7">
        <v>6</v>
      </c>
      <c r="J14" s="72"/>
      <c r="K14" s="67">
        <v>17.899999999999999</v>
      </c>
      <c r="L14" s="257"/>
      <c r="M14" s="35"/>
      <c r="N14" s="35"/>
      <c r="O14" s="35"/>
      <c r="P14" s="35"/>
      <c r="Q14" s="35"/>
    </row>
    <row r="15" spans="1:17" ht="15.95" customHeight="1" x14ac:dyDescent="0.25">
      <c r="A15" s="392"/>
      <c r="B15" s="69" t="s">
        <v>78</v>
      </c>
      <c r="C15" s="8">
        <v>680</v>
      </c>
      <c r="D15" s="7">
        <v>45</v>
      </c>
      <c r="E15" s="7">
        <v>13</v>
      </c>
      <c r="F15" s="7">
        <v>32</v>
      </c>
      <c r="G15" s="7">
        <v>65</v>
      </c>
      <c r="H15" s="9">
        <v>2.5</v>
      </c>
      <c r="I15" s="7">
        <v>10</v>
      </c>
      <c r="J15" s="72"/>
      <c r="K15" s="67">
        <v>17.899999999999999</v>
      </c>
      <c r="L15" s="257"/>
      <c r="M15" s="35"/>
      <c r="N15" s="35"/>
      <c r="O15" s="35"/>
      <c r="P15" s="35"/>
      <c r="Q15" s="35"/>
    </row>
    <row r="16" spans="1:17" ht="15.95" customHeight="1" x14ac:dyDescent="0.25">
      <c r="A16" s="392"/>
      <c r="B16" s="69" t="s">
        <v>60</v>
      </c>
      <c r="C16" s="8">
        <v>560</v>
      </c>
      <c r="D16" s="7">
        <v>45</v>
      </c>
      <c r="E16" s="7">
        <v>15</v>
      </c>
      <c r="F16" s="7">
        <v>37</v>
      </c>
      <c r="G16" s="7">
        <v>80</v>
      </c>
      <c r="H16" s="9">
        <v>2.5</v>
      </c>
      <c r="I16" s="7">
        <v>4</v>
      </c>
      <c r="J16" s="72"/>
      <c r="K16" s="67">
        <v>10.25</v>
      </c>
      <c r="L16" s="257"/>
      <c r="M16" s="35"/>
      <c r="N16" s="35"/>
      <c r="O16" s="35"/>
      <c r="P16" s="35"/>
      <c r="Q16" s="35"/>
    </row>
    <row r="17" spans="1:17" ht="15.95" customHeight="1" x14ac:dyDescent="0.25">
      <c r="A17" s="392"/>
      <c r="B17" s="69" t="s">
        <v>2</v>
      </c>
      <c r="C17" s="8">
        <v>660</v>
      </c>
      <c r="D17" s="7">
        <v>30</v>
      </c>
      <c r="E17" s="7">
        <v>18</v>
      </c>
      <c r="F17" s="7">
        <v>27</v>
      </c>
      <c r="G17" s="7">
        <v>70</v>
      </c>
      <c r="H17" s="9">
        <v>1.5</v>
      </c>
      <c r="I17" s="7">
        <v>9</v>
      </c>
      <c r="J17" s="72"/>
      <c r="K17" s="67">
        <v>14.9</v>
      </c>
      <c r="L17" s="257"/>
      <c r="M17" s="35"/>
      <c r="N17" s="35"/>
      <c r="O17" s="35"/>
      <c r="P17" s="35"/>
      <c r="Q17" s="35"/>
    </row>
    <row r="18" spans="1:17" ht="15.95" customHeight="1" x14ac:dyDescent="0.25">
      <c r="A18" s="392"/>
      <c r="B18" s="69" t="s">
        <v>39</v>
      </c>
      <c r="C18" s="8">
        <v>510</v>
      </c>
      <c r="D18" s="7">
        <v>45</v>
      </c>
      <c r="E18" s="7">
        <v>14</v>
      </c>
      <c r="F18" s="7">
        <v>39</v>
      </c>
      <c r="G18" s="7">
        <v>80</v>
      </c>
      <c r="H18" s="9">
        <v>2.8</v>
      </c>
      <c r="I18" s="7">
        <v>3</v>
      </c>
      <c r="J18" s="72"/>
      <c r="K18" s="67">
        <v>14</v>
      </c>
      <c r="L18" s="257"/>
      <c r="M18" s="35"/>
      <c r="N18" s="35"/>
      <c r="O18" s="35"/>
      <c r="P18" s="35"/>
      <c r="Q18" s="35"/>
    </row>
    <row r="19" spans="1:17" ht="15.95" customHeight="1" x14ac:dyDescent="0.25">
      <c r="A19" s="392"/>
      <c r="B19" s="69" t="s">
        <v>40</v>
      </c>
      <c r="C19" s="8">
        <v>650</v>
      </c>
      <c r="D19" s="7">
        <v>45</v>
      </c>
      <c r="E19" s="7">
        <v>13</v>
      </c>
      <c r="F19" s="7">
        <v>32</v>
      </c>
      <c r="G19" s="7">
        <v>65</v>
      </c>
      <c r="H19" s="9">
        <v>2.5</v>
      </c>
      <c r="I19" s="7">
        <v>10</v>
      </c>
      <c r="J19" s="72"/>
      <c r="K19" s="67">
        <v>13.4</v>
      </c>
      <c r="L19" s="257"/>
      <c r="M19" s="35"/>
      <c r="N19" s="35"/>
      <c r="O19" s="35"/>
      <c r="P19" s="35"/>
      <c r="Q19" s="35"/>
    </row>
    <row r="20" spans="1:17" ht="15.95" customHeight="1" x14ac:dyDescent="0.25">
      <c r="A20" s="392"/>
      <c r="B20" s="69" t="s">
        <v>67</v>
      </c>
      <c r="C20" s="8">
        <v>470</v>
      </c>
      <c r="D20" s="7">
        <v>45</v>
      </c>
      <c r="E20" s="7">
        <v>16</v>
      </c>
      <c r="F20" s="7">
        <v>34</v>
      </c>
      <c r="G20" s="7">
        <v>75</v>
      </c>
      <c r="H20" s="9">
        <v>2</v>
      </c>
      <c r="I20" s="7">
        <v>6</v>
      </c>
      <c r="J20" s="72"/>
      <c r="K20" s="67">
        <v>12</v>
      </c>
      <c r="L20" s="257"/>
      <c r="M20" s="35"/>
      <c r="N20" s="35"/>
      <c r="O20" s="35"/>
      <c r="P20" s="35"/>
      <c r="Q20" s="35"/>
    </row>
    <row r="21" spans="1:17" ht="15.95" customHeight="1" x14ac:dyDescent="0.25">
      <c r="A21" s="392"/>
      <c r="B21" s="69" t="s">
        <v>74</v>
      </c>
      <c r="C21" s="8">
        <v>760</v>
      </c>
      <c r="D21" s="7">
        <v>40</v>
      </c>
      <c r="E21" s="7">
        <v>17</v>
      </c>
      <c r="F21" s="7">
        <v>30</v>
      </c>
      <c r="G21" s="7">
        <v>70</v>
      </c>
      <c r="H21" s="9">
        <v>1.8</v>
      </c>
      <c r="I21" s="7">
        <v>8</v>
      </c>
      <c r="J21" s="72"/>
      <c r="K21" s="67">
        <v>16.850000000000001</v>
      </c>
      <c r="L21" s="257"/>
      <c r="M21" s="35"/>
      <c r="N21" s="35"/>
      <c r="O21" s="35"/>
      <c r="P21" s="35"/>
      <c r="Q21" s="35"/>
    </row>
    <row r="22" spans="1:17" ht="15.95" customHeight="1" x14ac:dyDescent="0.25">
      <c r="A22" s="392"/>
      <c r="B22" s="69" t="s">
        <v>58</v>
      </c>
      <c r="C22" s="8">
        <v>400</v>
      </c>
      <c r="D22" s="7">
        <v>45</v>
      </c>
      <c r="E22" s="7">
        <v>14</v>
      </c>
      <c r="F22" s="7">
        <v>39</v>
      </c>
      <c r="G22" s="7">
        <v>80</v>
      </c>
      <c r="H22" s="9">
        <v>2.8</v>
      </c>
      <c r="I22" s="7">
        <v>3</v>
      </c>
      <c r="J22" s="72"/>
      <c r="K22" s="67">
        <v>13.35</v>
      </c>
      <c r="L22" s="257"/>
      <c r="M22" s="35"/>
      <c r="N22" s="35"/>
      <c r="O22" s="35"/>
      <c r="P22" s="35"/>
      <c r="Q22" s="35"/>
    </row>
    <row r="23" spans="1:17" ht="15.95" customHeight="1" x14ac:dyDescent="0.25">
      <c r="A23" s="392"/>
      <c r="B23" s="69" t="s">
        <v>89</v>
      </c>
      <c r="C23" s="8">
        <v>630</v>
      </c>
      <c r="D23" s="7">
        <v>45</v>
      </c>
      <c r="E23" s="7">
        <v>16</v>
      </c>
      <c r="F23" s="7">
        <v>34</v>
      </c>
      <c r="G23" s="7">
        <v>75</v>
      </c>
      <c r="H23" s="9">
        <v>2</v>
      </c>
      <c r="I23" s="7">
        <v>6</v>
      </c>
      <c r="J23" s="72"/>
      <c r="K23" s="67">
        <v>10</v>
      </c>
      <c r="L23" s="257"/>
      <c r="M23" s="35"/>
      <c r="N23" s="35"/>
      <c r="O23" s="35"/>
      <c r="P23" s="35"/>
      <c r="Q23" s="35"/>
    </row>
    <row r="24" spans="1:17" ht="15.95" customHeight="1" x14ac:dyDescent="0.25">
      <c r="A24" s="392"/>
      <c r="B24" s="69" t="s">
        <v>72</v>
      </c>
      <c r="C24" s="8">
        <v>800</v>
      </c>
      <c r="D24" s="7">
        <v>40</v>
      </c>
      <c r="E24" s="7">
        <v>17</v>
      </c>
      <c r="F24" s="7">
        <v>30</v>
      </c>
      <c r="G24" s="7">
        <v>70</v>
      </c>
      <c r="H24" s="9">
        <v>1.8</v>
      </c>
      <c r="I24" s="7">
        <v>8</v>
      </c>
      <c r="J24" s="72"/>
      <c r="K24" s="67">
        <v>19</v>
      </c>
      <c r="L24" s="257"/>
      <c r="M24" s="35"/>
      <c r="N24" s="35"/>
      <c r="O24" s="35"/>
      <c r="P24" s="35"/>
      <c r="Q24" s="35"/>
    </row>
    <row r="25" spans="1:17" ht="15.95" customHeight="1" x14ac:dyDescent="0.25">
      <c r="A25" s="392"/>
      <c r="B25" s="69" t="s">
        <v>64</v>
      </c>
      <c r="C25" s="8">
        <v>470</v>
      </c>
      <c r="D25" s="7">
        <v>45</v>
      </c>
      <c r="E25" s="7">
        <v>16</v>
      </c>
      <c r="F25" s="7">
        <v>35</v>
      </c>
      <c r="G25" s="7">
        <v>75</v>
      </c>
      <c r="H25" s="9">
        <v>2.2000000000000002</v>
      </c>
      <c r="I25" s="7">
        <v>5</v>
      </c>
      <c r="J25" s="72"/>
      <c r="K25" s="67">
        <v>8.1</v>
      </c>
      <c r="L25" s="257"/>
      <c r="M25" s="35"/>
      <c r="N25" s="35"/>
      <c r="O25" s="35"/>
      <c r="P25" s="35"/>
      <c r="Q25" s="35"/>
    </row>
    <row r="26" spans="1:17" ht="15.95" customHeight="1" x14ac:dyDescent="0.25">
      <c r="A26" s="392"/>
      <c r="B26" s="69" t="s">
        <v>41</v>
      </c>
      <c r="C26" s="8">
        <v>550</v>
      </c>
      <c r="D26" s="7">
        <v>45</v>
      </c>
      <c r="E26" s="7">
        <v>16</v>
      </c>
      <c r="F26" s="7">
        <v>35</v>
      </c>
      <c r="G26" s="7">
        <v>75</v>
      </c>
      <c r="H26" s="9">
        <v>2.2000000000000002</v>
      </c>
      <c r="I26" s="7">
        <v>5</v>
      </c>
      <c r="J26" s="72"/>
      <c r="K26" s="68">
        <v>13.85</v>
      </c>
      <c r="L26" s="257"/>
      <c r="M26" s="35"/>
      <c r="N26" s="35"/>
      <c r="O26" s="35"/>
      <c r="P26" s="35"/>
      <c r="Q26" s="35"/>
    </row>
    <row r="27" spans="1:17" ht="15.95" customHeight="1" x14ac:dyDescent="0.25">
      <c r="A27" s="392"/>
      <c r="B27" s="69" t="s">
        <v>73</v>
      </c>
      <c r="C27" s="8">
        <v>580</v>
      </c>
      <c r="D27" s="7">
        <v>40</v>
      </c>
      <c r="E27" s="7">
        <v>17</v>
      </c>
      <c r="F27" s="7">
        <v>30</v>
      </c>
      <c r="G27" s="7">
        <v>70</v>
      </c>
      <c r="H27" s="9">
        <v>1.8</v>
      </c>
      <c r="I27" s="7">
        <v>8</v>
      </c>
      <c r="J27" s="72"/>
      <c r="K27" s="67">
        <v>11</v>
      </c>
      <c r="L27" s="257"/>
      <c r="M27" s="35"/>
      <c r="N27" s="35"/>
      <c r="O27" s="35"/>
      <c r="P27" s="35"/>
      <c r="Q27" s="35"/>
    </row>
    <row r="28" spans="1:17" ht="15.95" customHeight="1" x14ac:dyDescent="0.25">
      <c r="A28" s="392"/>
      <c r="B28" s="69" t="s">
        <v>62</v>
      </c>
      <c r="C28" s="8">
        <v>500</v>
      </c>
      <c r="D28" s="7">
        <v>45</v>
      </c>
      <c r="E28" s="7">
        <v>15</v>
      </c>
      <c r="F28" s="7">
        <v>37</v>
      </c>
      <c r="G28" s="7">
        <v>80</v>
      </c>
      <c r="H28" s="9">
        <v>2.5</v>
      </c>
      <c r="I28" s="7">
        <v>4</v>
      </c>
      <c r="J28" s="72"/>
      <c r="K28" s="67">
        <v>10.85</v>
      </c>
      <c r="L28" s="257"/>
      <c r="M28" s="35"/>
      <c r="N28" s="35"/>
      <c r="O28" s="35"/>
      <c r="P28" s="35"/>
      <c r="Q28" s="35"/>
    </row>
    <row r="29" spans="1:17" ht="15.95" customHeight="1" x14ac:dyDescent="0.25">
      <c r="A29" s="392"/>
      <c r="B29" s="69" t="s">
        <v>42</v>
      </c>
      <c r="C29" s="8">
        <v>490</v>
      </c>
      <c r="D29" s="7">
        <v>45</v>
      </c>
      <c r="E29" s="7">
        <v>14</v>
      </c>
      <c r="F29" s="7">
        <v>39</v>
      </c>
      <c r="G29" s="7">
        <v>80</v>
      </c>
      <c r="H29" s="9">
        <v>2.8</v>
      </c>
      <c r="I29" s="7">
        <v>3</v>
      </c>
      <c r="J29" s="72"/>
      <c r="K29" s="67">
        <v>14.35</v>
      </c>
      <c r="L29" s="257"/>
      <c r="M29" s="35"/>
      <c r="N29" s="35"/>
      <c r="O29" s="35"/>
      <c r="P29" s="35"/>
      <c r="Q29" s="35"/>
    </row>
    <row r="30" spans="1:17" ht="15.95" customHeight="1" x14ac:dyDescent="0.25">
      <c r="A30" s="392"/>
      <c r="B30" s="69" t="s">
        <v>65</v>
      </c>
      <c r="C30" s="8">
        <v>590</v>
      </c>
      <c r="D30" s="7">
        <v>45</v>
      </c>
      <c r="E30" s="7">
        <v>16</v>
      </c>
      <c r="F30" s="7">
        <v>34</v>
      </c>
      <c r="G30" s="7">
        <v>75</v>
      </c>
      <c r="H30" s="9">
        <v>2</v>
      </c>
      <c r="I30" s="7">
        <v>6</v>
      </c>
      <c r="J30" s="72"/>
      <c r="K30" s="68">
        <v>11.2</v>
      </c>
      <c r="L30" s="257"/>
      <c r="M30" s="35"/>
      <c r="N30" s="35"/>
      <c r="O30" s="35"/>
      <c r="P30" s="35"/>
      <c r="Q30" s="35"/>
    </row>
    <row r="31" spans="1:17" ht="15.95" customHeight="1" x14ac:dyDescent="0.25">
      <c r="A31" s="392"/>
      <c r="B31" s="69" t="s">
        <v>68</v>
      </c>
      <c r="C31" s="8">
        <v>670</v>
      </c>
      <c r="D31" s="7">
        <v>45</v>
      </c>
      <c r="E31" s="7">
        <v>16</v>
      </c>
      <c r="F31" s="7">
        <v>34</v>
      </c>
      <c r="G31" s="7">
        <v>75</v>
      </c>
      <c r="H31" s="9">
        <v>2</v>
      </c>
      <c r="I31" s="7">
        <v>6</v>
      </c>
      <c r="J31" s="72"/>
      <c r="K31" s="68">
        <v>14.1</v>
      </c>
      <c r="L31" s="257"/>
      <c r="M31" s="35"/>
      <c r="N31" s="35"/>
      <c r="O31" s="35"/>
      <c r="P31" s="35"/>
      <c r="Q31" s="35"/>
    </row>
    <row r="32" spans="1:17" ht="15.95" customHeight="1" x14ac:dyDescent="0.25">
      <c r="A32" s="392"/>
      <c r="B32" s="69" t="s">
        <v>63</v>
      </c>
      <c r="C32" s="8">
        <v>640</v>
      </c>
      <c r="D32" s="7">
        <v>45</v>
      </c>
      <c r="E32" s="7">
        <v>16</v>
      </c>
      <c r="F32" s="7">
        <v>35</v>
      </c>
      <c r="G32" s="7">
        <v>75</v>
      </c>
      <c r="H32" s="9">
        <v>2.2000000000000002</v>
      </c>
      <c r="I32" s="7">
        <v>5</v>
      </c>
      <c r="J32" s="72"/>
      <c r="K32" s="68">
        <v>13.4</v>
      </c>
      <c r="L32" s="257"/>
      <c r="M32" s="35"/>
      <c r="N32" s="35"/>
      <c r="O32" s="35"/>
      <c r="P32" s="35"/>
      <c r="Q32" s="35"/>
    </row>
    <row r="33" spans="1:17" ht="15.95" customHeight="1" x14ac:dyDescent="0.25">
      <c r="A33" s="392"/>
      <c r="B33" s="69" t="s">
        <v>59</v>
      </c>
      <c r="C33" s="8">
        <v>410</v>
      </c>
      <c r="D33" s="7">
        <v>45</v>
      </c>
      <c r="E33" s="7">
        <v>14</v>
      </c>
      <c r="F33" s="7">
        <v>39</v>
      </c>
      <c r="G33" s="7">
        <v>80</v>
      </c>
      <c r="H33" s="9">
        <v>2.8</v>
      </c>
      <c r="I33" s="7">
        <v>3</v>
      </c>
      <c r="J33" s="72"/>
      <c r="K33" s="67">
        <v>11.75</v>
      </c>
      <c r="L33" s="257"/>
      <c r="M33" s="35"/>
      <c r="N33" s="35"/>
      <c r="O33" s="35"/>
      <c r="P33" s="35"/>
      <c r="Q33" s="35"/>
    </row>
    <row r="34" spans="1:17" ht="15.95" customHeight="1" x14ac:dyDescent="0.25">
      <c r="A34" s="392"/>
      <c r="B34" s="69" t="s">
        <v>43</v>
      </c>
      <c r="C34" s="8">
        <v>410</v>
      </c>
      <c r="D34" s="7">
        <v>45</v>
      </c>
      <c r="E34" s="7">
        <v>14</v>
      </c>
      <c r="F34" s="7">
        <v>39</v>
      </c>
      <c r="G34" s="7">
        <v>80</v>
      </c>
      <c r="H34" s="9">
        <v>2.8</v>
      </c>
      <c r="I34" s="7">
        <v>3</v>
      </c>
      <c r="J34" s="72"/>
      <c r="K34" s="67">
        <v>12.3</v>
      </c>
      <c r="L34" s="106"/>
    </row>
    <row r="35" spans="1:17" ht="15.95" customHeight="1" x14ac:dyDescent="0.25">
      <c r="A35" s="392"/>
      <c r="B35" s="69" t="s">
        <v>70</v>
      </c>
      <c r="C35" s="8">
        <v>560</v>
      </c>
      <c r="D35" s="7">
        <v>40</v>
      </c>
      <c r="E35" s="7">
        <v>15</v>
      </c>
      <c r="F35" s="7">
        <v>30</v>
      </c>
      <c r="G35" s="7">
        <v>70</v>
      </c>
      <c r="H35" s="9">
        <v>2</v>
      </c>
      <c r="I35" s="7">
        <v>7</v>
      </c>
      <c r="J35" s="72"/>
      <c r="K35" s="68">
        <v>14.3</v>
      </c>
      <c r="L35" s="106"/>
    </row>
    <row r="36" spans="1:17" ht="15.95" customHeight="1" x14ac:dyDescent="0.25">
      <c r="A36" s="392"/>
      <c r="B36" s="69" t="s">
        <v>44</v>
      </c>
      <c r="C36" s="8">
        <v>640</v>
      </c>
      <c r="D36" s="7">
        <v>45</v>
      </c>
      <c r="E36" s="7">
        <v>16</v>
      </c>
      <c r="F36" s="7">
        <v>35</v>
      </c>
      <c r="G36" s="7">
        <v>75</v>
      </c>
      <c r="H36" s="9">
        <v>2.2000000000000002</v>
      </c>
      <c r="I36" s="7">
        <v>5</v>
      </c>
      <c r="J36" s="72"/>
      <c r="K36" s="68">
        <v>12.8</v>
      </c>
      <c r="L36" s="106"/>
    </row>
    <row r="37" spans="1:17" ht="15.95" customHeight="1" x14ac:dyDescent="0.25">
      <c r="A37" s="392"/>
      <c r="B37" s="69" t="s">
        <v>66</v>
      </c>
      <c r="C37" s="8">
        <v>590</v>
      </c>
      <c r="D37" s="7">
        <v>45</v>
      </c>
      <c r="E37" s="7">
        <v>16</v>
      </c>
      <c r="F37" s="7">
        <v>34</v>
      </c>
      <c r="G37" s="7">
        <v>75</v>
      </c>
      <c r="H37" s="9">
        <v>2</v>
      </c>
      <c r="I37" s="7">
        <v>6</v>
      </c>
      <c r="J37" s="72"/>
      <c r="K37" s="68">
        <v>11.8</v>
      </c>
      <c r="L37" s="106"/>
    </row>
    <row r="38" spans="1:17" ht="15.95" customHeight="1" x14ac:dyDescent="0.25">
      <c r="A38" s="392"/>
      <c r="B38" s="69" t="s">
        <v>75</v>
      </c>
      <c r="C38" s="8">
        <v>940</v>
      </c>
      <c r="D38" s="7">
        <v>40</v>
      </c>
      <c r="E38" s="7">
        <v>17</v>
      </c>
      <c r="F38" s="7">
        <v>30</v>
      </c>
      <c r="G38" s="7">
        <v>70</v>
      </c>
      <c r="H38" s="9">
        <v>1.8</v>
      </c>
      <c r="I38" s="7">
        <v>8</v>
      </c>
      <c r="J38" s="72"/>
      <c r="K38" s="67">
        <v>20</v>
      </c>
      <c r="L38" s="106"/>
    </row>
    <row r="39" spans="1:17" ht="15.95" customHeight="1" x14ac:dyDescent="0.25">
      <c r="A39" s="392"/>
      <c r="B39" s="69" t="s">
        <v>69</v>
      </c>
      <c r="C39" s="8">
        <v>630</v>
      </c>
      <c r="D39" s="7">
        <v>45</v>
      </c>
      <c r="E39" s="7">
        <v>16</v>
      </c>
      <c r="F39" s="7">
        <v>34</v>
      </c>
      <c r="G39" s="7">
        <v>75</v>
      </c>
      <c r="H39" s="9">
        <v>2</v>
      </c>
      <c r="I39" s="7">
        <v>6</v>
      </c>
      <c r="J39" s="72"/>
      <c r="K39" s="68">
        <v>8.15</v>
      </c>
      <c r="L39" s="106"/>
    </row>
    <row r="40" spans="1:17" ht="15.95" customHeight="1" x14ac:dyDescent="0.25">
      <c r="A40" s="392"/>
      <c r="B40" s="69" t="s">
        <v>57</v>
      </c>
      <c r="C40" s="8">
        <v>330</v>
      </c>
      <c r="D40" s="7">
        <v>45</v>
      </c>
      <c r="E40" s="7">
        <v>14</v>
      </c>
      <c r="F40" s="7">
        <v>39</v>
      </c>
      <c r="G40" s="7">
        <v>80</v>
      </c>
      <c r="H40" s="9">
        <v>2.8</v>
      </c>
      <c r="I40" s="7">
        <v>3</v>
      </c>
      <c r="J40" s="72"/>
      <c r="K40" s="67">
        <v>9.85</v>
      </c>
      <c r="L40" s="106"/>
    </row>
    <row r="41" spans="1:17" ht="15.95" customHeight="1" x14ac:dyDescent="0.25">
      <c r="A41" s="392"/>
      <c r="B41" s="69" t="s">
        <v>71</v>
      </c>
      <c r="C41" s="8">
        <v>790</v>
      </c>
      <c r="D41" s="7">
        <v>40</v>
      </c>
      <c r="E41" s="7">
        <v>15</v>
      </c>
      <c r="F41" s="7">
        <v>30</v>
      </c>
      <c r="G41" s="7">
        <v>70</v>
      </c>
      <c r="H41" s="9">
        <v>2</v>
      </c>
      <c r="I41" s="7">
        <v>7</v>
      </c>
      <c r="J41" s="72"/>
      <c r="K41" s="67">
        <v>19.350000000000001</v>
      </c>
      <c r="L41" s="106"/>
    </row>
    <row r="42" spans="1:17" ht="15.95" customHeight="1" x14ac:dyDescent="0.25">
      <c r="A42" s="393"/>
      <c r="B42" s="69" t="s">
        <v>76</v>
      </c>
      <c r="C42" s="8">
        <v>770</v>
      </c>
      <c r="D42" s="7">
        <v>40</v>
      </c>
      <c r="E42" s="7">
        <v>17</v>
      </c>
      <c r="F42" s="7">
        <v>30</v>
      </c>
      <c r="G42" s="7">
        <v>70</v>
      </c>
      <c r="H42" s="9">
        <v>1.8</v>
      </c>
      <c r="I42" s="7">
        <v>8</v>
      </c>
      <c r="J42" s="72"/>
      <c r="K42" s="67">
        <v>18</v>
      </c>
      <c r="L42" s="106"/>
    </row>
    <row r="43" spans="1:17" ht="15.95" customHeight="1" x14ac:dyDescent="0.25">
      <c r="A43" s="376" t="s">
        <v>45</v>
      </c>
      <c r="B43" s="69" t="s">
        <v>86</v>
      </c>
      <c r="C43" s="8">
        <v>500</v>
      </c>
      <c r="D43" s="7">
        <v>40</v>
      </c>
      <c r="E43" s="7">
        <v>15</v>
      </c>
      <c r="F43" s="7">
        <v>30</v>
      </c>
      <c r="G43" s="7">
        <v>70</v>
      </c>
      <c r="H43" s="9">
        <v>2</v>
      </c>
      <c r="I43" s="7">
        <v>7</v>
      </c>
      <c r="J43" s="72"/>
      <c r="K43" s="68">
        <v>10.3</v>
      </c>
      <c r="L43" s="106"/>
    </row>
    <row r="44" spans="1:17" ht="15.95" customHeight="1" x14ac:dyDescent="0.25">
      <c r="A44" s="377"/>
      <c r="B44" s="69" t="s">
        <v>83</v>
      </c>
      <c r="C44" s="8">
        <v>470</v>
      </c>
      <c r="D44" s="7">
        <v>50</v>
      </c>
      <c r="E44" s="7">
        <v>13</v>
      </c>
      <c r="F44" s="7">
        <v>45</v>
      </c>
      <c r="G44" s="7">
        <v>80</v>
      </c>
      <c r="H44" s="9">
        <v>3.5</v>
      </c>
      <c r="I44" s="7">
        <v>2</v>
      </c>
      <c r="J44" s="72"/>
      <c r="K44" s="68">
        <v>11.9</v>
      </c>
      <c r="L44" s="106"/>
    </row>
    <row r="45" spans="1:17" ht="15.95" customHeight="1" x14ac:dyDescent="0.25">
      <c r="A45" s="377"/>
      <c r="B45" s="69" t="s">
        <v>81</v>
      </c>
      <c r="C45" s="8">
        <v>430</v>
      </c>
      <c r="D45" s="7">
        <v>50</v>
      </c>
      <c r="E45" s="7">
        <v>13</v>
      </c>
      <c r="F45" s="7">
        <v>45</v>
      </c>
      <c r="G45" s="7">
        <v>80</v>
      </c>
      <c r="H45" s="9">
        <v>3.5</v>
      </c>
      <c r="I45" s="7">
        <v>2</v>
      </c>
      <c r="J45" s="72"/>
      <c r="K45" s="68">
        <v>12</v>
      </c>
      <c r="L45" s="106"/>
    </row>
    <row r="46" spans="1:17" ht="15.95" customHeight="1" x14ac:dyDescent="0.25">
      <c r="A46" s="377"/>
      <c r="B46" s="69" t="s">
        <v>79</v>
      </c>
      <c r="C46" s="8">
        <v>430</v>
      </c>
      <c r="D46" s="7">
        <v>60</v>
      </c>
      <c r="E46" s="7">
        <v>12</v>
      </c>
      <c r="F46" s="7">
        <v>48</v>
      </c>
      <c r="G46" s="7">
        <v>90</v>
      </c>
      <c r="H46" s="9">
        <v>4</v>
      </c>
      <c r="I46" s="7">
        <v>1</v>
      </c>
      <c r="J46" s="72"/>
      <c r="K46" s="68">
        <v>12</v>
      </c>
      <c r="L46" s="106"/>
    </row>
    <row r="47" spans="1:17" ht="15.95" customHeight="1" x14ac:dyDescent="0.25">
      <c r="A47" s="377"/>
      <c r="B47" s="69" t="s">
        <v>84</v>
      </c>
      <c r="C47" s="8">
        <v>440</v>
      </c>
      <c r="D47" s="7">
        <v>50</v>
      </c>
      <c r="E47" s="7">
        <v>13</v>
      </c>
      <c r="F47" s="7">
        <v>45</v>
      </c>
      <c r="G47" s="7">
        <v>80</v>
      </c>
      <c r="H47" s="9">
        <v>3.5</v>
      </c>
      <c r="I47" s="7">
        <v>2</v>
      </c>
      <c r="J47" s="72"/>
      <c r="K47" s="68">
        <v>12.7</v>
      </c>
      <c r="L47" s="106"/>
    </row>
    <row r="48" spans="1:17" ht="15.95" customHeight="1" x14ac:dyDescent="0.25">
      <c r="A48" s="377"/>
      <c r="B48" s="69" t="s">
        <v>82</v>
      </c>
      <c r="C48" s="8">
        <v>490</v>
      </c>
      <c r="D48" s="7">
        <v>50</v>
      </c>
      <c r="E48" s="7">
        <v>13</v>
      </c>
      <c r="F48" s="7">
        <v>45</v>
      </c>
      <c r="G48" s="7">
        <v>80</v>
      </c>
      <c r="H48" s="9">
        <v>3.5</v>
      </c>
      <c r="I48" s="7">
        <v>2</v>
      </c>
      <c r="J48" s="72"/>
      <c r="K48" s="68">
        <v>12.4</v>
      </c>
      <c r="L48" s="106"/>
    </row>
    <row r="49" spans="1:12" ht="15.95" customHeight="1" x14ac:dyDescent="0.25">
      <c r="A49" s="377"/>
      <c r="B49" s="69" t="s">
        <v>46</v>
      </c>
      <c r="C49" s="8">
        <v>550</v>
      </c>
      <c r="D49" s="7">
        <v>45</v>
      </c>
      <c r="E49" s="7">
        <v>15</v>
      </c>
      <c r="F49" s="7">
        <v>37</v>
      </c>
      <c r="G49" s="7">
        <v>80</v>
      </c>
      <c r="H49" s="9">
        <v>2.5</v>
      </c>
      <c r="I49" s="7">
        <v>4</v>
      </c>
      <c r="J49" s="72"/>
      <c r="K49" s="68">
        <v>11.6</v>
      </c>
      <c r="L49" s="106"/>
    </row>
    <row r="50" spans="1:12" ht="15.95" customHeight="1" x14ac:dyDescent="0.25">
      <c r="A50" s="377"/>
      <c r="B50" s="69" t="s">
        <v>47</v>
      </c>
      <c r="C50" s="8">
        <v>410</v>
      </c>
      <c r="D50" s="7">
        <v>50</v>
      </c>
      <c r="E50" s="7">
        <v>13</v>
      </c>
      <c r="F50" s="7">
        <v>45</v>
      </c>
      <c r="G50" s="7">
        <v>80</v>
      </c>
      <c r="H50" s="9">
        <v>3.5</v>
      </c>
      <c r="I50" s="7">
        <v>2</v>
      </c>
      <c r="J50" s="72"/>
      <c r="K50" s="68">
        <v>11.7</v>
      </c>
      <c r="L50" s="106"/>
    </row>
    <row r="51" spans="1:12" ht="15.95" customHeight="1" x14ac:dyDescent="0.25">
      <c r="A51" s="377"/>
      <c r="B51" s="69" t="s">
        <v>80</v>
      </c>
      <c r="C51" s="8">
        <v>410</v>
      </c>
      <c r="D51" s="7">
        <v>60</v>
      </c>
      <c r="E51" s="7">
        <v>12</v>
      </c>
      <c r="F51" s="7">
        <v>48</v>
      </c>
      <c r="G51" s="7">
        <v>90</v>
      </c>
      <c r="H51" s="9">
        <v>4</v>
      </c>
      <c r="I51" s="7">
        <v>1</v>
      </c>
      <c r="J51" s="72"/>
      <c r="K51" s="68">
        <v>11.7</v>
      </c>
      <c r="L51" s="106"/>
    </row>
    <row r="52" spans="1:12" ht="15.95" customHeight="1" x14ac:dyDescent="0.25">
      <c r="A52" s="378"/>
      <c r="B52" s="69" t="s">
        <v>85</v>
      </c>
      <c r="C52" s="8">
        <v>350</v>
      </c>
      <c r="D52" s="7">
        <v>50</v>
      </c>
      <c r="E52" s="7">
        <v>13</v>
      </c>
      <c r="F52" s="7">
        <v>45</v>
      </c>
      <c r="G52" s="7">
        <v>80</v>
      </c>
      <c r="H52" s="9">
        <v>3.5</v>
      </c>
      <c r="I52" s="7">
        <v>2</v>
      </c>
      <c r="J52" s="73"/>
      <c r="K52" s="67">
        <v>7.8</v>
      </c>
      <c r="L52" s="106"/>
    </row>
    <row r="53" spans="1:12" ht="15.95" customHeight="1" thickBot="1" x14ac:dyDescent="0.3">
      <c r="A53" s="111"/>
      <c r="B53" s="112"/>
      <c r="C53" s="112"/>
      <c r="D53" s="112"/>
      <c r="E53" s="112"/>
      <c r="F53" s="112"/>
      <c r="G53" s="112"/>
      <c r="H53" s="112"/>
      <c r="I53" s="112"/>
      <c r="J53" s="112"/>
      <c r="K53" s="112"/>
      <c r="L53" s="113"/>
    </row>
    <row r="54" spans="1:12" ht="15.75" thickTop="1" x14ac:dyDescent="0.25"/>
  </sheetData>
  <sheetProtection password="CB3B" sheet="1" objects="1" scenarios="1"/>
  <sortState ref="B3:I11">
    <sortCondition ref="B3"/>
  </sortState>
  <mergeCells count="10">
    <mergeCell ref="I3:I4"/>
    <mergeCell ref="C3:C4"/>
    <mergeCell ref="K3:K4"/>
    <mergeCell ref="A5:A42"/>
    <mergeCell ref="A1:K2"/>
    <mergeCell ref="A43:A52"/>
    <mergeCell ref="F3:F4"/>
    <mergeCell ref="D4:E4"/>
    <mergeCell ref="G4:H4"/>
    <mergeCell ref="A3:B4"/>
  </mergeCells>
  <dataValidations count="1">
    <dataValidation type="list" allowBlank="1" showInputMessage="1" showErrorMessage="1" sqref="N6">
      <formula1>Holzart</formula1>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Start</vt:lpstr>
      <vt:lpstr>Eingabe</vt:lpstr>
      <vt:lpstr>Trockenzeit</vt:lpstr>
      <vt:lpstr>Volumen</vt:lpstr>
      <vt:lpstr>Energiebedarf</vt:lpstr>
      <vt:lpstr>Kostenrechnung</vt:lpstr>
      <vt:lpstr>Datensammlung</vt:lpstr>
      <vt:lpstr>Holzart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Bank</dc:creator>
  <cp:lastModifiedBy>holzfachschule</cp:lastModifiedBy>
  <dcterms:created xsi:type="dcterms:W3CDTF">2012-08-15T16:37:12Z</dcterms:created>
  <dcterms:modified xsi:type="dcterms:W3CDTF">2013-05-14T08:16:02Z</dcterms:modified>
</cp:coreProperties>
</file>